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etapp4\House_redirect\charlesappleby\Desktop\"/>
    </mc:Choice>
  </mc:AlternateContent>
  <bookViews>
    <workbookView xWindow="0" yWindow="0" windowWidth="17895" windowHeight="8205"/>
  </bookViews>
  <sheets>
    <sheet name="Totals" sheetId="1" r:id="rId1"/>
    <sheet name="Percentages of Total-Solicitor" sheetId="11" r:id="rId2"/>
    <sheet name="FY16 Solicitor R&amp;E" sheetId="5" r:id="rId3"/>
    <sheet name="FY17 Solicitor R&amp;E" sheetId="8" r:id="rId4"/>
    <sheet name="Percentages of Total-Ind. Def." sheetId="12" r:id="rId5"/>
    <sheet name="FY16 Ind. Defense R&amp;E" sheetId="9" r:id="rId6"/>
    <sheet name="FY17 Ind. Defense R&amp;E" sheetId="6" r:id="rId7"/>
    <sheet name="FY16 Expense Details" sheetId="3" r:id="rId8"/>
    <sheet name="FY16 Revenue Details" sheetId="2" r:id="rId9"/>
    <sheet name="FY17 Expense Details" sheetId="4" r:id="rId10"/>
    <sheet name="FY17 Revenue Details" sheetId="7"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xlnm.Print_Titles" localSheetId="7">'FY16 Expense Details'!$1:$2</definedName>
    <definedName name="_xlnm.Print_Titles" localSheetId="5">'FY16 Ind. Defense R&amp;E'!$1:$2</definedName>
    <definedName name="_xlnm.Print_Titles" localSheetId="8">'FY16 Revenue Details'!$1:$2</definedName>
    <definedName name="_xlnm.Print_Titles" localSheetId="2">'FY16 Solicitor R&amp;E'!$1:$2</definedName>
    <definedName name="_xlnm.Print_Titles" localSheetId="9">'FY17 Expense Details'!$1:$2</definedName>
    <definedName name="_xlnm.Print_Titles" localSheetId="6">'FY17 Ind. Defense R&amp;E'!$1:$2</definedName>
    <definedName name="_xlnm.Print_Titles" localSheetId="10">'FY17 Revenue Details'!$1:$2</definedName>
    <definedName name="_xlnm.Print_Titles" localSheetId="3">'FY17 Solicitor R&amp;E'!$1:$2</definedName>
    <definedName name="_xlnm.Print_Titles" localSheetId="0">Totals!$1:$2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S79" i="9" l="1"/>
  <c r="AR79" i="9"/>
  <c r="AQ79" i="9"/>
  <c r="AP79" i="9"/>
  <c r="AO79" i="9"/>
  <c r="AN79" i="9"/>
  <c r="AM79" i="9"/>
  <c r="AL79" i="9"/>
  <c r="AK79" i="9"/>
  <c r="AJ79" i="9"/>
  <c r="AI79" i="9"/>
  <c r="AH79" i="9"/>
  <c r="AS71" i="9"/>
  <c r="AR71" i="9"/>
  <c r="AQ71" i="9"/>
  <c r="AP71" i="9"/>
  <c r="AO71" i="9"/>
  <c r="AN71" i="9"/>
  <c r="AM71" i="9"/>
  <c r="AL71" i="9"/>
  <c r="AK71" i="9"/>
  <c r="AJ71" i="9"/>
  <c r="AI71" i="9"/>
  <c r="AH71" i="9"/>
  <c r="AS64" i="9"/>
  <c r="AR64" i="9"/>
  <c r="AQ64" i="9"/>
  <c r="AP64" i="9"/>
  <c r="AO64" i="9"/>
  <c r="AN64" i="9"/>
  <c r="AM64" i="9"/>
  <c r="AL64" i="9"/>
  <c r="AK64" i="9"/>
  <c r="AJ64" i="9"/>
  <c r="AI64" i="9"/>
  <c r="AH64" i="9"/>
  <c r="AS60" i="9"/>
  <c r="AR60" i="9"/>
  <c r="AQ60" i="9"/>
  <c r="AP60" i="9"/>
  <c r="AO60" i="9"/>
  <c r="AN60" i="9"/>
  <c r="AM60" i="9"/>
  <c r="AL60" i="9"/>
  <c r="AK60" i="9"/>
  <c r="AJ60" i="9"/>
  <c r="AI60" i="9"/>
  <c r="AH60" i="9"/>
  <c r="AS56" i="9"/>
  <c r="AR56" i="9"/>
  <c r="AQ56" i="9"/>
  <c r="AP56" i="9"/>
  <c r="AO56" i="9"/>
  <c r="AN56" i="9"/>
  <c r="AM56" i="9"/>
  <c r="AL56" i="9"/>
  <c r="AK56" i="9"/>
  <c r="AJ56" i="9"/>
  <c r="AI56" i="9"/>
  <c r="AH56" i="9"/>
  <c r="AS50" i="9"/>
  <c r="AR50" i="9"/>
  <c r="AQ50" i="9"/>
  <c r="AP50" i="9"/>
  <c r="AO50" i="9"/>
  <c r="AN50" i="9"/>
  <c r="AM50" i="9"/>
  <c r="AL50" i="9"/>
  <c r="AK50" i="9"/>
  <c r="AJ50" i="9"/>
  <c r="AI50" i="9"/>
  <c r="AH50" i="9"/>
  <c r="AS42" i="9"/>
  <c r="AR42" i="9"/>
  <c r="AQ42" i="9"/>
  <c r="AP42" i="9"/>
  <c r="AO42" i="9"/>
  <c r="AN42" i="9"/>
  <c r="AM42" i="9"/>
  <c r="AL42" i="9"/>
  <c r="AK42" i="9"/>
  <c r="AJ42" i="9"/>
  <c r="AI42" i="9"/>
  <c r="AH42" i="9"/>
  <c r="AS36" i="9"/>
  <c r="AR36" i="9"/>
  <c r="AQ36" i="9"/>
  <c r="AP36" i="9"/>
  <c r="AO36" i="9"/>
  <c r="AN36" i="9"/>
  <c r="AM36" i="9"/>
  <c r="AL36" i="9"/>
  <c r="AK36" i="9"/>
  <c r="AJ36" i="9"/>
  <c r="AI36" i="9"/>
  <c r="AH36" i="9"/>
  <c r="AS32" i="9"/>
  <c r="AR32" i="9"/>
  <c r="AQ32" i="9"/>
  <c r="AP32" i="9"/>
  <c r="AO32" i="9"/>
  <c r="AN32" i="9"/>
  <c r="AM32" i="9"/>
  <c r="AL32" i="9"/>
  <c r="AK32" i="9"/>
  <c r="AJ32" i="9"/>
  <c r="AI32" i="9"/>
  <c r="AH32" i="9"/>
  <c r="AS27" i="9"/>
  <c r="AR27" i="9"/>
  <c r="AQ27" i="9"/>
  <c r="AP27" i="9"/>
  <c r="AO27" i="9"/>
  <c r="AN27" i="9"/>
  <c r="AM27" i="9"/>
  <c r="AL27" i="9"/>
  <c r="AK27" i="9"/>
  <c r="AJ27" i="9"/>
  <c r="AI27" i="9"/>
  <c r="AH27" i="9"/>
  <c r="AS23" i="9"/>
  <c r="AR23" i="9"/>
  <c r="AQ23" i="9"/>
  <c r="AP23" i="9"/>
  <c r="AO23" i="9"/>
  <c r="AN23" i="9"/>
  <c r="AM23" i="9"/>
  <c r="AL23" i="9"/>
  <c r="AK23" i="9"/>
  <c r="AJ23" i="9"/>
  <c r="AI23" i="9"/>
  <c r="AH23" i="9"/>
  <c r="AS17" i="9"/>
  <c r="AR17" i="9"/>
  <c r="AQ17" i="9"/>
  <c r="AP17" i="9"/>
  <c r="AO17" i="9"/>
  <c r="AN17" i="9"/>
  <c r="AM17" i="9"/>
  <c r="AL17" i="9"/>
  <c r="AK17" i="9"/>
  <c r="AJ17" i="9"/>
  <c r="AI17" i="9"/>
  <c r="AH17" i="9"/>
  <c r="AS11" i="9"/>
  <c r="AR11" i="9"/>
  <c r="AQ11" i="9"/>
  <c r="AP11" i="9"/>
  <c r="AO11" i="9"/>
  <c r="AN11" i="9"/>
  <c r="AM11" i="9"/>
  <c r="AL11" i="9"/>
  <c r="AK11" i="9"/>
  <c r="AJ11" i="9"/>
  <c r="AI11" i="9"/>
  <c r="AH11" i="9"/>
  <c r="AS6" i="9"/>
  <c r="AR6" i="9"/>
  <c r="AQ6" i="9"/>
  <c r="AP6" i="9"/>
  <c r="AO6" i="9"/>
  <c r="AN6" i="9"/>
  <c r="AM6" i="9"/>
  <c r="AL6" i="9"/>
  <c r="AK6" i="9"/>
  <c r="AJ6" i="9"/>
  <c r="AI6" i="9"/>
  <c r="AH6" i="9"/>
  <c r="E71" i="9"/>
  <c r="F71" i="9"/>
  <c r="G71" i="9"/>
  <c r="H71" i="9"/>
  <c r="T71" i="9"/>
  <c r="AE71" i="9"/>
  <c r="U23" i="8"/>
  <c r="X23" i="8" s="1"/>
  <c r="U23" i="5"/>
  <c r="X23" i="5" s="1"/>
  <c r="Y23" i="5" l="1"/>
  <c r="Z23" i="5"/>
  <c r="Y23" i="8"/>
  <c r="Z23" i="8"/>
  <c r="AF71" i="9"/>
  <c r="H63" i="5"/>
  <c r="H62" i="5"/>
  <c r="H62" i="8"/>
  <c r="Q38" i="1" l="1"/>
  <c r="Q62" i="1"/>
  <c r="Q63" i="1"/>
  <c r="AE79" i="6" l="1"/>
  <c r="AD79" i="6"/>
  <c r="AC79" i="6"/>
  <c r="AB79" i="6"/>
  <c r="AA79" i="6"/>
  <c r="Z79" i="6"/>
  <c r="Y79" i="6"/>
  <c r="X79" i="6"/>
  <c r="W79" i="6"/>
  <c r="V79" i="6"/>
  <c r="U79" i="6"/>
  <c r="T79" i="6"/>
  <c r="S79" i="6"/>
  <c r="AF78" i="6"/>
  <c r="E78" i="1" s="1"/>
  <c r="AF77" i="6"/>
  <c r="E77" i="1" s="1"/>
  <c r="AE75" i="6"/>
  <c r="AD75" i="6"/>
  <c r="AC75" i="6"/>
  <c r="AB75" i="6"/>
  <c r="AA75" i="6"/>
  <c r="Z75" i="6"/>
  <c r="Y75" i="6"/>
  <c r="X75" i="6"/>
  <c r="W75" i="6"/>
  <c r="V75" i="6"/>
  <c r="U75" i="6"/>
  <c r="T75" i="6"/>
  <c r="S75" i="6"/>
  <c r="AF74" i="6"/>
  <c r="E74" i="1" s="1"/>
  <c r="AF73" i="6"/>
  <c r="E73" i="1" s="1"/>
  <c r="AE71" i="6"/>
  <c r="AD71" i="6"/>
  <c r="AC71" i="6"/>
  <c r="AB71" i="6"/>
  <c r="AA71" i="6"/>
  <c r="Z71" i="6"/>
  <c r="Y71" i="6"/>
  <c r="X71" i="6"/>
  <c r="W71" i="6"/>
  <c r="V71" i="6"/>
  <c r="U71" i="6"/>
  <c r="T71" i="6"/>
  <c r="S71" i="6"/>
  <c r="AF70" i="6"/>
  <c r="E70" i="1" s="1"/>
  <c r="AF69" i="6"/>
  <c r="E69" i="1" s="1"/>
  <c r="AF68" i="6"/>
  <c r="E68" i="1" s="1"/>
  <c r="AF67" i="6"/>
  <c r="E67" i="1" s="1"/>
  <c r="AF66" i="6"/>
  <c r="E66" i="1" s="1"/>
  <c r="AE64" i="6"/>
  <c r="AD64" i="6"/>
  <c r="AC64" i="6"/>
  <c r="AB64" i="6"/>
  <c r="AA64" i="6"/>
  <c r="Z64" i="6"/>
  <c r="Y64" i="6"/>
  <c r="X64" i="6"/>
  <c r="W64" i="6"/>
  <c r="V64" i="6"/>
  <c r="U64" i="6"/>
  <c r="T64" i="6"/>
  <c r="S64" i="6"/>
  <c r="AF63" i="6"/>
  <c r="E63" i="1" s="1"/>
  <c r="AF62" i="6"/>
  <c r="E62" i="1" s="1"/>
  <c r="AE60" i="6"/>
  <c r="AD60" i="6"/>
  <c r="AC60" i="6"/>
  <c r="AB60" i="6"/>
  <c r="AA60" i="6"/>
  <c r="Z60" i="6"/>
  <c r="Y60" i="6"/>
  <c r="X60" i="6"/>
  <c r="W60" i="6"/>
  <c r="V60" i="6"/>
  <c r="U60" i="6"/>
  <c r="T60" i="6"/>
  <c r="S60" i="6"/>
  <c r="AF59" i="6"/>
  <c r="E59" i="1" s="1"/>
  <c r="AF58" i="6"/>
  <c r="E58" i="1" s="1"/>
  <c r="AE56" i="6"/>
  <c r="AD56" i="6"/>
  <c r="AC56" i="6"/>
  <c r="AB56" i="6"/>
  <c r="AA56" i="6"/>
  <c r="Z56" i="6"/>
  <c r="Y56" i="6"/>
  <c r="X56" i="6"/>
  <c r="W56" i="6"/>
  <c r="V56" i="6"/>
  <c r="U56" i="6"/>
  <c r="T56" i="6"/>
  <c r="S56" i="6"/>
  <c r="AF55" i="6"/>
  <c r="E55" i="1" s="1"/>
  <c r="AF54" i="6"/>
  <c r="E54" i="1" s="1"/>
  <c r="AF53" i="6"/>
  <c r="AF52" i="6"/>
  <c r="E52" i="1" s="1"/>
  <c r="AE50" i="6"/>
  <c r="AD50" i="6"/>
  <c r="AC50" i="6"/>
  <c r="AB50" i="6"/>
  <c r="AA50" i="6"/>
  <c r="Z50" i="6"/>
  <c r="Y50" i="6"/>
  <c r="X50" i="6"/>
  <c r="W50" i="6"/>
  <c r="V50" i="6"/>
  <c r="U50" i="6"/>
  <c r="T50" i="6"/>
  <c r="S50" i="6"/>
  <c r="AF49" i="6"/>
  <c r="E49" i="1" s="1"/>
  <c r="AF48" i="6"/>
  <c r="E48" i="1" s="1"/>
  <c r="AE46" i="6"/>
  <c r="AD46" i="6"/>
  <c r="AC46" i="6"/>
  <c r="AB46" i="6"/>
  <c r="AA46" i="6"/>
  <c r="Z46" i="6"/>
  <c r="Y46" i="6"/>
  <c r="X46" i="6"/>
  <c r="W46" i="6"/>
  <c r="V46" i="6"/>
  <c r="U46" i="6"/>
  <c r="T46" i="6"/>
  <c r="S46" i="6"/>
  <c r="AF45" i="6"/>
  <c r="E45" i="1" s="1"/>
  <c r="AF44" i="6"/>
  <c r="E44" i="1" s="1"/>
  <c r="AE42" i="6"/>
  <c r="AD42" i="6"/>
  <c r="AC42" i="6"/>
  <c r="AB42" i="6"/>
  <c r="AA42" i="6"/>
  <c r="Z42" i="6"/>
  <c r="Y42" i="6"/>
  <c r="X42" i="6"/>
  <c r="W42" i="6"/>
  <c r="V42" i="6"/>
  <c r="U42" i="6"/>
  <c r="T42" i="6"/>
  <c r="S42" i="6"/>
  <c r="AF41" i="6"/>
  <c r="E41" i="1" s="1"/>
  <c r="AF40" i="6"/>
  <c r="E40" i="1" s="1"/>
  <c r="AF39" i="6"/>
  <c r="E39" i="1" s="1"/>
  <c r="AF38" i="6"/>
  <c r="E38" i="1" s="1"/>
  <c r="AE36" i="6"/>
  <c r="AD36" i="6"/>
  <c r="AC36" i="6"/>
  <c r="AB36" i="6"/>
  <c r="AA36" i="6"/>
  <c r="Z36" i="6"/>
  <c r="Y36" i="6"/>
  <c r="X36" i="6"/>
  <c r="W36" i="6"/>
  <c r="V36" i="6"/>
  <c r="U36" i="6"/>
  <c r="T36" i="6"/>
  <c r="S36" i="6"/>
  <c r="AF35" i="6"/>
  <c r="E35" i="1" s="1"/>
  <c r="AF34" i="6"/>
  <c r="E34" i="1" s="1"/>
  <c r="AE32" i="6"/>
  <c r="AD32" i="6"/>
  <c r="AC32" i="6"/>
  <c r="AB32" i="6"/>
  <c r="AA32" i="6"/>
  <c r="Z32" i="6"/>
  <c r="Y32" i="6"/>
  <c r="X32" i="6"/>
  <c r="W32" i="6"/>
  <c r="V32" i="6"/>
  <c r="U32" i="6"/>
  <c r="T32" i="6"/>
  <c r="S32" i="6"/>
  <c r="AF31" i="6"/>
  <c r="E31" i="1" s="1"/>
  <c r="AF30" i="6"/>
  <c r="E30" i="1" s="1"/>
  <c r="AF29" i="6"/>
  <c r="E29" i="1" s="1"/>
  <c r="AE27" i="6"/>
  <c r="AD27" i="6"/>
  <c r="AC27" i="6"/>
  <c r="AB27" i="6"/>
  <c r="AA27" i="6"/>
  <c r="Z27" i="6"/>
  <c r="Y27" i="6"/>
  <c r="X27" i="6"/>
  <c r="W27" i="6"/>
  <c r="V27" i="6"/>
  <c r="U27" i="6"/>
  <c r="T27" i="6"/>
  <c r="S27" i="6"/>
  <c r="AF26" i="6"/>
  <c r="E26" i="1" s="1"/>
  <c r="AF25" i="6"/>
  <c r="AE23" i="6"/>
  <c r="AD23" i="6"/>
  <c r="AC23" i="6"/>
  <c r="AB23" i="6"/>
  <c r="AA23" i="6"/>
  <c r="Z23" i="6"/>
  <c r="Y23" i="6"/>
  <c r="X23" i="6"/>
  <c r="W23" i="6"/>
  <c r="V23" i="6"/>
  <c r="U23" i="6"/>
  <c r="T23" i="6"/>
  <c r="S23" i="6"/>
  <c r="AF22" i="6"/>
  <c r="E22" i="1" s="1"/>
  <c r="AF21" i="6"/>
  <c r="E21" i="1" s="1"/>
  <c r="AF20" i="6"/>
  <c r="E20" i="1" s="1"/>
  <c r="AF19" i="6"/>
  <c r="E19" i="1" s="1"/>
  <c r="AE17" i="6"/>
  <c r="AD17" i="6"/>
  <c r="AC17" i="6"/>
  <c r="AB17" i="6"/>
  <c r="AA17" i="6"/>
  <c r="Z17" i="6"/>
  <c r="Y17" i="6"/>
  <c r="X17" i="6"/>
  <c r="W17" i="6"/>
  <c r="V17" i="6"/>
  <c r="U17" i="6"/>
  <c r="T17" i="6"/>
  <c r="S17" i="6"/>
  <c r="AF16" i="6"/>
  <c r="E16" i="1" s="1"/>
  <c r="AF15" i="6"/>
  <c r="E15" i="1" s="1"/>
  <c r="AF14" i="6"/>
  <c r="E14" i="1" s="1"/>
  <c r="AF13" i="6"/>
  <c r="E13" i="1" s="1"/>
  <c r="AE11" i="6"/>
  <c r="AD11" i="6"/>
  <c r="AC11" i="6"/>
  <c r="AB11" i="6"/>
  <c r="AA11" i="6"/>
  <c r="Z11" i="6"/>
  <c r="Y11" i="6"/>
  <c r="X11" i="6"/>
  <c r="W11" i="6"/>
  <c r="V11" i="6"/>
  <c r="U11" i="6"/>
  <c r="T11" i="6"/>
  <c r="S11" i="6"/>
  <c r="AF10" i="6"/>
  <c r="E10" i="1" s="1"/>
  <c r="AF9" i="6"/>
  <c r="E9" i="1" s="1"/>
  <c r="AF8" i="6"/>
  <c r="E8" i="1" s="1"/>
  <c r="AE6" i="6"/>
  <c r="AD6" i="6"/>
  <c r="AC6" i="6"/>
  <c r="AB6" i="6"/>
  <c r="AA6" i="6"/>
  <c r="Z6" i="6"/>
  <c r="Y6" i="6"/>
  <c r="X6" i="6"/>
  <c r="W6" i="6"/>
  <c r="V6" i="6"/>
  <c r="U6" i="6"/>
  <c r="T6" i="6"/>
  <c r="S6" i="6"/>
  <c r="AF5" i="6"/>
  <c r="E5" i="1" s="1"/>
  <c r="AF4" i="6"/>
  <c r="E4" i="1" s="1"/>
  <c r="AF3" i="6"/>
  <c r="E3" i="1" s="1"/>
  <c r="F79" i="6"/>
  <c r="D79" i="6"/>
  <c r="C79" i="6"/>
  <c r="I78" i="6"/>
  <c r="D78" i="1" s="1"/>
  <c r="F78" i="1" s="1"/>
  <c r="I77" i="6"/>
  <c r="D77" i="1" s="1"/>
  <c r="F77" i="1" s="1"/>
  <c r="H75" i="6"/>
  <c r="G75" i="6"/>
  <c r="F75" i="6"/>
  <c r="E75" i="6"/>
  <c r="D75" i="6"/>
  <c r="C75" i="6"/>
  <c r="I74" i="6"/>
  <c r="D74" i="1" s="1"/>
  <c r="I73" i="6"/>
  <c r="D73" i="1" s="1"/>
  <c r="H71" i="6"/>
  <c r="G71" i="6"/>
  <c r="F71" i="6"/>
  <c r="E71" i="6"/>
  <c r="D71" i="6"/>
  <c r="C71" i="6"/>
  <c r="I70" i="6"/>
  <c r="D70" i="1" s="1"/>
  <c r="I69" i="6"/>
  <c r="D69" i="1" s="1"/>
  <c r="I68" i="6"/>
  <c r="D68" i="1" s="1"/>
  <c r="I67" i="6"/>
  <c r="D67" i="1" s="1"/>
  <c r="I66" i="6"/>
  <c r="D66" i="1" s="1"/>
  <c r="H64" i="6"/>
  <c r="G64" i="6"/>
  <c r="F64" i="6"/>
  <c r="E64" i="6"/>
  <c r="D64" i="6"/>
  <c r="C64" i="6"/>
  <c r="I63" i="6"/>
  <c r="D63" i="1" s="1"/>
  <c r="I62" i="6"/>
  <c r="D62" i="1" s="1"/>
  <c r="H60" i="6"/>
  <c r="G60" i="6"/>
  <c r="F60" i="6"/>
  <c r="E60" i="6"/>
  <c r="D60" i="6"/>
  <c r="C60" i="6"/>
  <c r="I59" i="6"/>
  <c r="D59" i="1" s="1"/>
  <c r="F59" i="1" s="1"/>
  <c r="I58" i="6"/>
  <c r="D58" i="1" s="1"/>
  <c r="F58" i="1" s="1"/>
  <c r="H56" i="6"/>
  <c r="G56" i="6"/>
  <c r="F56" i="6"/>
  <c r="E56" i="6"/>
  <c r="D56" i="6"/>
  <c r="C56" i="6"/>
  <c r="I55" i="6"/>
  <c r="D55" i="1" s="1"/>
  <c r="F55" i="1" s="1"/>
  <c r="I54" i="6"/>
  <c r="D54" i="1" s="1"/>
  <c r="I53" i="6"/>
  <c r="D53" i="1" s="1"/>
  <c r="I52" i="6"/>
  <c r="D52" i="1" s="1"/>
  <c r="H50" i="6"/>
  <c r="G50" i="6"/>
  <c r="F50" i="6"/>
  <c r="E50" i="6"/>
  <c r="D50" i="6"/>
  <c r="C50" i="6"/>
  <c r="I49" i="6"/>
  <c r="D49" i="1" s="1"/>
  <c r="I48" i="6"/>
  <c r="D48" i="1" s="1"/>
  <c r="H46" i="6"/>
  <c r="G46" i="6"/>
  <c r="F46" i="6"/>
  <c r="E46" i="6"/>
  <c r="D46" i="6"/>
  <c r="C46" i="6"/>
  <c r="I45" i="6"/>
  <c r="D45" i="1" s="1"/>
  <c r="I44" i="6"/>
  <c r="D44" i="1" s="1"/>
  <c r="H42" i="6"/>
  <c r="G42" i="6"/>
  <c r="F42" i="6"/>
  <c r="E42" i="6"/>
  <c r="D42" i="6"/>
  <c r="C42" i="6"/>
  <c r="I41" i="6"/>
  <c r="D41" i="1" s="1"/>
  <c r="F41" i="1" s="1"/>
  <c r="I40" i="6"/>
  <c r="D40" i="1" s="1"/>
  <c r="F40" i="1" s="1"/>
  <c r="I39" i="6"/>
  <c r="D39" i="1" s="1"/>
  <c r="F39" i="1" s="1"/>
  <c r="I38" i="6"/>
  <c r="D38" i="1" s="1"/>
  <c r="F38" i="1" s="1"/>
  <c r="H36" i="6"/>
  <c r="G36" i="6"/>
  <c r="F36" i="6"/>
  <c r="E36" i="6"/>
  <c r="D36" i="6"/>
  <c r="C36" i="6"/>
  <c r="I35" i="6"/>
  <c r="D35" i="1" s="1"/>
  <c r="F35" i="1" s="1"/>
  <c r="I34" i="6"/>
  <c r="D34" i="1" s="1"/>
  <c r="H32" i="6"/>
  <c r="G32" i="6"/>
  <c r="F32" i="6"/>
  <c r="E32" i="6"/>
  <c r="D32" i="6"/>
  <c r="C32" i="6"/>
  <c r="I31" i="6"/>
  <c r="D31" i="1" s="1"/>
  <c r="I30" i="6"/>
  <c r="D30" i="1" s="1"/>
  <c r="I29" i="6"/>
  <c r="D29" i="1" s="1"/>
  <c r="H27" i="6"/>
  <c r="G27" i="6"/>
  <c r="F27" i="6"/>
  <c r="E27" i="6"/>
  <c r="D27" i="6"/>
  <c r="C27" i="6"/>
  <c r="I26" i="6"/>
  <c r="D26" i="1" s="1"/>
  <c r="I25" i="6"/>
  <c r="D25" i="1" s="1"/>
  <c r="H23" i="6"/>
  <c r="G23" i="6"/>
  <c r="F23" i="6"/>
  <c r="E23" i="6"/>
  <c r="D23" i="6"/>
  <c r="C23" i="6"/>
  <c r="I22" i="6"/>
  <c r="D22" i="1" s="1"/>
  <c r="F22" i="1" s="1"/>
  <c r="I21" i="6"/>
  <c r="D21" i="1" s="1"/>
  <c r="F21" i="1" s="1"/>
  <c r="I20" i="6"/>
  <c r="D20" i="1" s="1"/>
  <c r="F20" i="1" s="1"/>
  <c r="I19" i="6"/>
  <c r="D19" i="1" s="1"/>
  <c r="F19" i="1" s="1"/>
  <c r="H17" i="6"/>
  <c r="G17" i="6"/>
  <c r="F17" i="6"/>
  <c r="E17" i="6"/>
  <c r="D17" i="6"/>
  <c r="C17" i="6"/>
  <c r="I16" i="6"/>
  <c r="D16" i="1" s="1"/>
  <c r="I15" i="6"/>
  <c r="D15" i="1" s="1"/>
  <c r="F15" i="1" s="1"/>
  <c r="I14" i="6"/>
  <c r="D14" i="1" s="1"/>
  <c r="I13" i="6"/>
  <c r="D13" i="1" s="1"/>
  <c r="H11" i="6"/>
  <c r="G11" i="6"/>
  <c r="F11" i="6"/>
  <c r="E11" i="6"/>
  <c r="D11" i="6"/>
  <c r="C11" i="6"/>
  <c r="I10" i="6"/>
  <c r="D10" i="1" s="1"/>
  <c r="F10" i="1" s="1"/>
  <c r="I9" i="6"/>
  <c r="D9" i="1" s="1"/>
  <c r="I8" i="6"/>
  <c r="D8" i="1" s="1"/>
  <c r="H6" i="6"/>
  <c r="G6" i="6"/>
  <c r="F6" i="6"/>
  <c r="E6" i="6"/>
  <c r="D6" i="6"/>
  <c r="C6" i="6"/>
  <c r="I5" i="6"/>
  <c r="D5" i="1" s="1"/>
  <c r="I4" i="6"/>
  <c r="D4" i="1" s="1"/>
  <c r="I3" i="6"/>
  <c r="D3" i="1" s="1"/>
  <c r="AE79" i="9"/>
  <c r="T79" i="9"/>
  <c r="AF78" i="9"/>
  <c r="N78" i="1" s="1"/>
  <c r="AF77" i="9"/>
  <c r="N77" i="1" s="1"/>
  <c r="AD75" i="9"/>
  <c r="AC75" i="9"/>
  <c r="AB75" i="9"/>
  <c r="AA75" i="9"/>
  <c r="Z75" i="9"/>
  <c r="Y75" i="9"/>
  <c r="X75" i="9"/>
  <c r="W75" i="9"/>
  <c r="V75" i="9"/>
  <c r="U75" i="9"/>
  <c r="S75" i="9"/>
  <c r="AE74" i="9"/>
  <c r="T74" i="9"/>
  <c r="AE73" i="9"/>
  <c r="T73" i="9"/>
  <c r="N71" i="1"/>
  <c r="AF70" i="9"/>
  <c r="N70" i="1" s="1"/>
  <c r="AF69" i="9"/>
  <c r="N69" i="1" s="1"/>
  <c r="AF68" i="9"/>
  <c r="N68" i="1" s="1"/>
  <c r="AF67" i="9"/>
  <c r="N67" i="1" s="1"/>
  <c r="AF66" i="9"/>
  <c r="N66" i="1" s="1"/>
  <c r="AE64" i="9"/>
  <c r="T64" i="9"/>
  <c r="AF63" i="9"/>
  <c r="N63" i="1" s="1"/>
  <c r="AF62" i="9"/>
  <c r="N62" i="1" s="1"/>
  <c r="AE60" i="9"/>
  <c r="T60" i="9"/>
  <c r="S60" i="9"/>
  <c r="AF59" i="9"/>
  <c r="N59" i="1" s="1"/>
  <c r="AF58" i="9"/>
  <c r="N58" i="1" s="1"/>
  <c r="AE56" i="9"/>
  <c r="T56" i="9"/>
  <c r="AF55" i="9"/>
  <c r="N55" i="1" s="1"/>
  <c r="AF54" i="9"/>
  <c r="N54" i="1" s="1"/>
  <c r="AF53" i="9"/>
  <c r="N53" i="1" s="1"/>
  <c r="AF52" i="9"/>
  <c r="N52" i="1" s="1"/>
  <c r="AE50" i="9"/>
  <c r="T50" i="9"/>
  <c r="AF49" i="9"/>
  <c r="N49" i="1" s="1"/>
  <c r="AF48" i="9"/>
  <c r="N48" i="1" s="1"/>
  <c r="AD46" i="9"/>
  <c r="AC46" i="9"/>
  <c r="AB46" i="9"/>
  <c r="AA46" i="9"/>
  <c r="Z46" i="9"/>
  <c r="Y46" i="9"/>
  <c r="X46" i="9"/>
  <c r="W46" i="9"/>
  <c r="V46" i="9"/>
  <c r="U46" i="9"/>
  <c r="T46" i="9"/>
  <c r="AE45" i="9"/>
  <c r="AF45" i="9" s="1"/>
  <c r="N45" i="1" s="1"/>
  <c r="AE44" i="9"/>
  <c r="S44" i="9"/>
  <c r="AE42" i="9"/>
  <c r="T42" i="9"/>
  <c r="AF41" i="9"/>
  <c r="N41" i="1" s="1"/>
  <c r="AF40" i="9"/>
  <c r="N40" i="1" s="1"/>
  <c r="AF39" i="9"/>
  <c r="N39" i="1" s="1"/>
  <c r="AF38" i="9"/>
  <c r="N38" i="1" s="1"/>
  <c r="AE36" i="9"/>
  <c r="T36" i="9"/>
  <c r="AF35" i="9"/>
  <c r="N35" i="1" s="1"/>
  <c r="AF34" i="9"/>
  <c r="N34" i="1" s="1"/>
  <c r="AE32" i="9"/>
  <c r="T32" i="9"/>
  <c r="AF31" i="9"/>
  <c r="N31" i="1" s="1"/>
  <c r="AF30" i="9"/>
  <c r="N30" i="1" s="1"/>
  <c r="AF29" i="9"/>
  <c r="N29" i="1" s="1"/>
  <c r="AE27" i="9"/>
  <c r="S27" i="9"/>
  <c r="AF26" i="9"/>
  <c r="N26" i="1" s="1"/>
  <c r="AF25" i="9"/>
  <c r="N25" i="1" s="1"/>
  <c r="AE23" i="9"/>
  <c r="T23" i="9"/>
  <c r="AF22" i="9"/>
  <c r="N22" i="1" s="1"/>
  <c r="AF21" i="9"/>
  <c r="N21" i="1" s="1"/>
  <c r="AF20" i="9"/>
  <c r="N20" i="1" s="1"/>
  <c r="AF19" i="9"/>
  <c r="N19" i="1" s="1"/>
  <c r="AE17" i="9"/>
  <c r="T17" i="9"/>
  <c r="AF16" i="9"/>
  <c r="N16" i="1" s="1"/>
  <c r="AF15" i="9"/>
  <c r="N15" i="1" s="1"/>
  <c r="AF14" i="9"/>
  <c r="N14" i="1" s="1"/>
  <c r="AF13" i="9"/>
  <c r="N13" i="1" s="1"/>
  <c r="AE11" i="9"/>
  <c r="AB11" i="9"/>
  <c r="T11" i="9"/>
  <c r="S11" i="9"/>
  <c r="AF10" i="9"/>
  <c r="N10" i="1" s="1"/>
  <c r="AF9" i="9"/>
  <c r="N9" i="1" s="1"/>
  <c r="AF8" i="9"/>
  <c r="N8" i="1" s="1"/>
  <c r="AE6" i="9"/>
  <c r="AB6" i="9"/>
  <c r="T6" i="9"/>
  <c r="AF5" i="9"/>
  <c r="N5" i="1" s="1"/>
  <c r="AF4" i="9"/>
  <c r="N4" i="1" s="1"/>
  <c r="AF3" i="9"/>
  <c r="N3" i="1" s="1"/>
  <c r="F78" i="9"/>
  <c r="F79" i="9" s="1"/>
  <c r="D78" i="9"/>
  <c r="C78" i="9"/>
  <c r="D77" i="9"/>
  <c r="C77" i="9"/>
  <c r="H75" i="9"/>
  <c r="G75" i="9"/>
  <c r="F75" i="9"/>
  <c r="E75" i="9"/>
  <c r="D74" i="9"/>
  <c r="D75" i="9" s="1"/>
  <c r="C74" i="9"/>
  <c r="C75" i="9" s="1"/>
  <c r="I73" i="9"/>
  <c r="M73" i="1" s="1"/>
  <c r="D70" i="9"/>
  <c r="C70" i="9"/>
  <c r="D69" i="9"/>
  <c r="C69" i="9"/>
  <c r="I68" i="9"/>
  <c r="M68" i="1" s="1"/>
  <c r="I67" i="9"/>
  <c r="M67" i="1" s="1"/>
  <c r="I66" i="9"/>
  <c r="M66" i="1" s="1"/>
  <c r="H64" i="9"/>
  <c r="G64" i="9"/>
  <c r="F64" i="9"/>
  <c r="E64" i="9"/>
  <c r="D63" i="9"/>
  <c r="D64" i="9" s="1"/>
  <c r="C63" i="9"/>
  <c r="C64" i="9" s="1"/>
  <c r="I62" i="9"/>
  <c r="M62" i="1" s="1"/>
  <c r="H60" i="9"/>
  <c r="G60" i="9"/>
  <c r="E60" i="9"/>
  <c r="D59" i="9"/>
  <c r="C59" i="9"/>
  <c r="F58" i="9"/>
  <c r="F60" i="9" s="1"/>
  <c r="D58" i="9"/>
  <c r="C58" i="9"/>
  <c r="H56" i="9"/>
  <c r="G56" i="9"/>
  <c r="F56" i="9"/>
  <c r="E56" i="9"/>
  <c r="D55" i="9"/>
  <c r="D56" i="9" s="1"/>
  <c r="C55" i="9"/>
  <c r="I54" i="9"/>
  <c r="M54" i="1" s="1"/>
  <c r="I53" i="9"/>
  <c r="M53" i="1" s="1"/>
  <c r="I52" i="9"/>
  <c r="M52" i="1" s="1"/>
  <c r="H50" i="9"/>
  <c r="G50" i="9"/>
  <c r="F50" i="9"/>
  <c r="E50" i="9"/>
  <c r="D49" i="9"/>
  <c r="C49" i="9"/>
  <c r="D48" i="9"/>
  <c r="C48" i="9"/>
  <c r="H46" i="9"/>
  <c r="F46" i="9"/>
  <c r="E46" i="9"/>
  <c r="I45" i="9"/>
  <c r="M45" i="1" s="1"/>
  <c r="G44" i="9"/>
  <c r="G46" i="9" s="1"/>
  <c r="D44" i="9"/>
  <c r="D46" i="9" s="1"/>
  <c r="C44" i="9"/>
  <c r="C46" i="9" s="1"/>
  <c r="H42" i="9"/>
  <c r="G42" i="9"/>
  <c r="F42" i="9"/>
  <c r="E42" i="9"/>
  <c r="D41" i="9"/>
  <c r="C41" i="9"/>
  <c r="D40" i="9"/>
  <c r="C40" i="9"/>
  <c r="D39" i="9"/>
  <c r="C39" i="9"/>
  <c r="D38" i="9"/>
  <c r="C38" i="9"/>
  <c r="H36" i="9"/>
  <c r="G36" i="9"/>
  <c r="F36" i="9"/>
  <c r="E36" i="9"/>
  <c r="I35" i="9"/>
  <c r="M35" i="1" s="1"/>
  <c r="D34" i="9"/>
  <c r="D36" i="9" s="1"/>
  <c r="C34" i="9"/>
  <c r="C36" i="9" s="1"/>
  <c r="H32" i="9"/>
  <c r="G32" i="9"/>
  <c r="F32" i="9"/>
  <c r="E32" i="9"/>
  <c r="D31" i="9"/>
  <c r="C31" i="9"/>
  <c r="I30" i="9"/>
  <c r="M30" i="1" s="1"/>
  <c r="D29" i="9"/>
  <c r="C29" i="9"/>
  <c r="E27" i="9"/>
  <c r="H26" i="9"/>
  <c r="H27" i="9" s="1"/>
  <c r="G26" i="9"/>
  <c r="G27" i="9" s="1"/>
  <c r="F26" i="9"/>
  <c r="F27" i="9" s="1"/>
  <c r="D26" i="9"/>
  <c r="C26" i="9"/>
  <c r="D25" i="9"/>
  <c r="C25" i="9"/>
  <c r="H23" i="9"/>
  <c r="G23" i="9"/>
  <c r="F23" i="9"/>
  <c r="E23" i="9"/>
  <c r="D22" i="9"/>
  <c r="C22" i="9"/>
  <c r="D21" i="9"/>
  <c r="C21" i="9"/>
  <c r="I20" i="9"/>
  <c r="M20" i="1" s="1"/>
  <c r="I19" i="9"/>
  <c r="M19" i="1" s="1"/>
  <c r="H17" i="9"/>
  <c r="G17" i="9"/>
  <c r="F17" i="9"/>
  <c r="E17" i="9"/>
  <c r="I16" i="9"/>
  <c r="M16" i="1" s="1"/>
  <c r="D15" i="9"/>
  <c r="C15" i="9"/>
  <c r="D14" i="9"/>
  <c r="C14" i="9"/>
  <c r="D13" i="9"/>
  <c r="C13" i="9"/>
  <c r="H11" i="9"/>
  <c r="G11" i="9"/>
  <c r="E11" i="9"/>
  <c r="F10" i="9"/>
  <c r="D10" i="9"/>
  <c r="C10" i="9"/>
  <c r="F9" i="9"/>
  <c r="D9" i="9"/>
  <c r="C9" i="9"/>
  <c r="F8" i="9"/>
  <c r="D8" i="9"/>
  <c r="C8" i="9"/>
  <c r="H6" i="9"/>
  <c r="G6" i="9"/>
  <c r="F6" i="9"/>
  <c r="E6" i="9"/>
  <c r="I5" i="9"/>
  <c r="M5" i="1" s="1"/>
  <c r="I4" i="9"/>
  <c r="M4" i="1" s="1"/>
  <c r="D3" i="9"/>
  <c r="D6" i="9" s="1"/>
  <c r="C3" i="9"/>
  <c r="AB78" i="8"/>
  <c r="T79" i="8"/>
  <c r="S79" i="8"/>
  <c r="R79" i="8"/>
  <c r="Q79" i="8"/>
  <c r="U78" i="8"/>
  <c r="I78" i="1" s="1"/>
  <c r="U77" i="8"/>
  <c r="I77" i="1" s="1"/>
  <c r="T75" i="8"/>
  <c r="S75" i="8"/>
  <c r="R75" i="8"/>
  <c r="Q75" i="8"/>
  <c r="U74" i="8"/>
  <c r="I74" i="1" s="1"/>
  <c r="U73" i="8"/>
  <c r="I73" i="1" s="1"/>
  <c r="T71" i="8"/>
  <c r="S71" i="8"/>
  <c r="R71" i="8"/>
  <c r="Q71" i="8"/>
  <c r="U70" i="8"/>
  <c r="I70" i="1" s="1"/>
  <c r="U69" i="8"/>
  <c r="I69" i="1" s="1"/>
  <c r="U68" i="8"/>
  <c r="I68" i="1" s="1"/>
  <c r="U67" i="8"/>
  <c r="I67" i="1" s="1"/>
  <c r="U66" i="8"/>
  <c r="I66" i="1" s="1"/>
  <c r="T64" i="8"/>
  <c r="S64" i="8"/>
  <c r="R64" i="8"/>
  <c r="Q64" i="8"/>
  <c r="U63" i="8"/>
  <c r="I63" i="1" s="1"/>
  <c r="U62" i="8"/>
  <c r="I62" i="1" s="1"/>
  <c r="T60" i="8"/>
  <c r="S60" i="8"/>
  <c r="R60" i="8"/>
  <c r="Q60" i="8"/>
  <c r="U59" i="8"/>
  <c r="I59" i="1" s="1"/>
  <c r="U58" i="8"/>
  <c r="I58" i="1" s="1"/>
  <c r="T56" i="8"/>
  <c r="S56" i="8"/>
  <c r="R56" i="8"/>
  <c r="Q56" i="8"/>
  <c r="U55" i="8"/>
  <c r="I55" i="1" s="1"/>
  <c r="U54" i="8"/>
  <c r="I54" i="1" s="1"/>
  <c r="U53" i="8"/>
  <c r="I53" i="1" s="1"/>
  <c r="U52" i="8"/>
  <c r="I52" i="1" s="1"/>
  <c r="T50" i="8"/>
  <c r="S50" i="8"/>
  <c r="R50" i="8"/>
  <c r="Q50" i="8"/>
  <c r="U49" i="8"/>
  <c r="I49" i="1" s="1"/>
  <c r="U48" i="8"/>
  <c r="I48" i="1" s="1"/>
  <c r="T46" i="8"/>
  <c r="S46" i="8"/>
  <c r="R46" i="8"/>
  <c r="Q46" i="8"/>
  <c r="U45" i="8"/>
  <c r="I45" i="1" s="1"/>
  <c r="U44" i="8"/>
  <c r="I44" i="1" s="1"/>
  <c r="T42" i="8"/>
  <c r="S42" i="8"/>
  <c r="R42" i="8"/>
  <c r="Q42" i="8"/>
  <c r="U41" i="8"/>
  <c r="I41" i="1" s="1"/>
  <c r="U40" i="8"/>
  <c r="I40" i="1" s="1"/>
  <c r="U39" i="8"/>
  <c r="I39" i="1" s="1"/>
  <c r="U38" i="8"/>
  <c r="I38" i="1" s="1"/>
  <c r="T36" i="8"/>
  <c r="S36" i="8"/>
  <c r="R36" i="8"/>
  <c r="Q36" i="8"/>
  <c r="U35" i="8"/>
  <c r="I35" i="1" s="1"/>
  <c r="U34" i="8"/>
  <c r="I34" i="1" s="1"/>
  <c r="T32" i="8"/>
  <c r="S32" i="8"/>
  <c r="R32" i="8"/>
  <c r="Q32" i="8"/>
  <c r="U31" i="8"/>
  <c r="I31" i="1" s="1"/>
  <c r="U30" i="8"/>
  <c r="I30" i="1" s="1"/>
  <c r="U29" i="8"/>
  <c r="I29" i="1" s="1"/>
  <c r="T27" i="8"/>
  <c r="S27" i="8"/>
  <c r="R27" i="8"/>
  <c r="Q27" i="8"/>
  <c r="U26" i="8"/>
  <c r="I26" i="1" s="1"/>
  <c r="U25" i="8"/>
  <c r="I25" i="1" s="1"/>
  <c r="I23" i="1"/>
  <c r="U22" i="8"/>
  <c r="I22" i="1" s="1"/>
  <c r="U21" i="8"/>
  <c r="I21" i="1" s="1"/>
  <c r="U20" i="8"/>
  <c r="I20" i="1" s="1"/>
  <c r="U19" i="8"/>
  <c r="I19" i="1" s="1"/>
  <c r="T17" i="8"/>
  <c r="S17" i="8"/>
  <c r="R17" i="8"/>
  <c r="Q17" i="8"/>
  <c r="U16" i="8"/>
  <c r="I16" i="1" s="1"/>
  <c r="U15" i="8"/>
  <c r="I15" i="1" s="1"/>
  <c r="U14" i="8"/>
  <c r="I14" i="1" s="1"/>
  <c r="U13" i="8"/>
  <c r="I13" i="1" s="1"/>
  <c r="T11" i="8"/>
  <c r="S11" i="8"/>
  <c r="R11" i="8"/>
  <c r="Q11" i="8"/>
  <c r="U10" i="8"/>
  <c r="I10" i="1" s="1"/>
  <c r="U9" i="8"/>
  <c r="I9" i="1" s="1"/>
  <c r="U8" i="8"/>
  <c r="I8" i="1" s="1"/>
  <c r="T6" i="8"/>
  <c r="S6" i="8"/>
  <c r="R6" i="8"/>
  <c r="Q6" i="8"/>
  <c r="U5" i="8"/>
  <c r="I5" i="1" s="1"/>
  <c r="U4" i="8"/>
  <c r="I4" i="1" s="1"/>
  <c r="U3" i="8"/>
  <c r="I3" i="1" s="1"/>
  <c r="G79" i="8"/>
  <c r="F79" i="8"/>
  <c r="E79" i="8"/>
  <c r="D79" i="8"/>
  <c r="C79" i="8"/>
  <c r="H78" i="8"/>
  <c r="H78" i="1" s="1"/>
  <c r="J78" i="1" s="1"/>
  <c r="H77" i="8"/>
  <c r="H77" i="1" s="1"/>
  <c r="J77" i="1" s="1"/>
  <c r="G75" i="8"/>
  <c r="F75" i="8"/>
  <c r="E75" i="8"/>
  <c r="D75" i="8"/>
  <c r="C75" i="8"/>
  <c r="H74" i="8"/>
  <c r="H74" i="1" s="1"/>
  <c r="H73" i="8"/>
  <c r="H73" i="1" s="1"/>
  <c r="G71" i="8"/>
  <c r="F71" i="8"/>
  <c r="E71" i="8"/>
  <c r="D71" i="8"/>
  <c r="C71" i="8"/>
  <c r="H70" i="8"/>
  <c r="H70" i="1" s="1"/>
  <c r="H69" i="8"/>
  <c r="H69" i="1" s="1"/>
  <c r="H68" i="8"/>
  <c r="H68" i="1" s="1"/>
  <c r="H67" i="8"/>
  <c r="H67" i="1" s="1"/>
  <c r="H66" i="8"/>
  <c r="H66" i="1" s="1"/>
  <c r="G64" i="8"/>
  <c r="F64" i="8"/>
  <c r="E64" i="8"/>
  <c r="D64" i="8"/>
  <c r="C64" i="8"/>
  <c r="H63" i="8"/>
  <c r="H63" i="1" s="1"/>
  <c r="H62" i="1"/>
  <c r="G60" i="8"/>
  <c r="F60" i="8"/>
  <c r="E60" i="8"/>
  <c r="D60" i="8"/>
  <c r="C60" i="8"/>
  <c r="H59" i="8"/>
  <c r="H59" i="1" s="1"/>
  <c r="H58" i="8"/>
  <c r="H58" i="1" s="1"/>
  <c r="J58" i="1" s="1"/>
  <c r="G56" i="8"/>
  <c r="F56" i="8"/>
  <c r="E56" i="8"/>
  <c r="D56" i="8"/>
  <c r="C56" i="8"/>
  <c r="H55" i="8"/>
  <c r="H55" i="1" s="1"/>
  <c r="H54" i="8"/>
  <c r="H54" i="1" s="1"/>
  <c r="H53" i="8"/>
  <c r="H53" i="1" s="1"/>
  <c r="H52" i="8"/>
  <c r="H52" i="1" s="1"/>
  <c r="G50" i="8"/>
  <c r="F50" i="8"/>
  <c r="E50" i="8"/>
  <c r="D50" i="8"/>
  <c r="C50" i="8"/>
  <c r="H49" i="8"/>
  <c r="H49" i="1" s="1"/>
  <c r="H48" i="8"/>
  <c r="H48" i="1" s="1"/>
  <c r="G46" i="8"/>
  <c r="F46" i="8"/>
  <c r="E46" i="8"/>
  <c r="D46" i="8"/>
  <c r="C46" i="8"/>
  <c r="H45" i="8"/>
  <c r="H45" i="1" s="1"/>
  <c r="H44" i="8"/>
  <c r="H44" i="1" s="1"/>
  <c r="G42" i="8"/>
  <c r="F42" i="8"/>
  <c r="E42" i="8"/>
  <c r="D42" i="8"/>
  <c r="C42" i="8"/>
  <c r="H41" i="8"/>
  <c r="H41" i="1" s="1"/>
  <c r="H40" i="8"/>
  <c r="H40" i="1" s="1"/>
  <c r="H39" i="8"/>
  <c r="H39" i="1" s="1"/>
  <c r="J39" i="1" s="1"/>
  <c r="H38" i="8"/>
  <c r="H38" i="1" s="1"/>
  <c r="G36" i="8"/>
  <c r="F36" i="8"/>
  <c r="D36" i="8"/>
  <c r="C36" i="8"/>
  <c r="H35" i="8"/>
  <c r="H35" i="1" s="1"/>
  <c r="H34" i="8"/>
  <c r="H34" i="1" s="1"/>
  <c r="J34" i="1" s="1"/>
  <c r="G32" i="8"/>
  <c r="F32" i="8"/>
  <c r="E32" i="8"/>
  <c r="D32" i="8"/>
  <c r="C32" i="8"/>
  <c r="H31" i="8"/>
  <c r="H31" i="1" s="1"/>
  <c r="H30" i="8"/>
  <c r="H30" i="1" s="1"/>
  <c r="H29" i="8"/>
  <c r="H29" i="1" s="1"/>
  <c r="G27" i="8"/>
  <c r="F27" i="8"/>
  <c r="E27" i="8"/>
  <c r="D27" i="8"/>
  <c r="C27" i="8"/>
  <c r="H26" i="8"/>
  <c r="H26" i="1" s="1"/>
  <c r="H25" i="8"/>
  <c r="H25" i="1" s="1"/>
  <c r="G23" i="8"/>
  <c r="C23" i="8"/>
  <c r="H22" i="8"/>
  <c r="H22" i="1" s="1"/>
  <c r="H21" i="8"/>
  <c r="H21" i="1" s="1"/>
  <c r="H20" i="8"/>
  <c r="H20" i="1" s="1"/>
  <c r="H19" i="8"/>
  <c r="H19" i="1" s="1"/>
  <c r="G17" i="8"/>
  <c r="F17" i="8"/>
  <c r="E17" i="8"/>
  <c r="D17" i="8"/>
  <c r="C17" i="8"/>
  <c r="H16" i="8"/>
  <c r="H16" i="1" s="1"/>
  <c r="J16" i="1" s="1"/>
  <c r="H15" i="8"/>
  <c r="H15" i="1" s="1"/>
  <c r="J15" i="1" s="1"/>
  <c r="H14" i="8"/>
  <c r="H14" i="1" s="1"/>
  <c r="J14" i="1" s="1"/>
  <c r="H13" i="8"/>
  <c r="H13" i="1" s="1"/>
  <c r="J13" i="1" s="1"/>
  <c r="G11" i="8"/>
  <c r="F11" i="8"/>
  <c r="E11" i="8"/>
  <c r="D11" i="8"/>
  <c r="C11" i="8"/>
  <c r="H10" i="8"/>
  <c r="H10" i="1" s="1"/>
  <c r="H9" i="8"/>
  <c r="H9" i="1" s="1"/>
  <c r="H8" i="8"/>
  <c r="H8" i="1" s="1"/>
  <c r="G6" i="8"/>
  <c r="F6" i="8"/>
  <c r="E6" i="8"/>
  <c r="D6" i="8"/>
  <c r="C6" i="8"/>
  <c r="H5" i="8"/>
  <c r="H5" i="1" s="1"/>
  <c r="H4" i="8"/>
  <c r="H4" i="1" s="1"/>
  <c r="H3" i="8"/>
  <c r="H3" i="1" s="1"/>
  <c r="T79" i="5"/>
  <c r="S79" i="5"/>
  <c r="R79" i="5"/>
  <c r="Q79" i="5"/>
  <c r="U78" i="5"/>
  <c r="R78" i="1" s="1"/>
  <c r="U77" i="5"/>
  <c r="R77" i="1" s="1"/>
  <c r="T75" i="5"/>
  <c r="S75" i="5"/>
  <c r="R75" i="5"/>
  <c r="Q75" i="5"/>
  <c r="U74" i="5"/>
  <c r="R74" i="1" s="1"/>
  <c r="U73" i="5"/>
  <c r="R73" i="1" s="1"/>
  <c r="T71" i="5"/>
  <c r="S71" i="5"/>
  <c r="R71" i="5"/>
  <c r="Q71" i="5"/>
  <c r="U70" i="5"/>
  <c r="R70" i="1" s="1"/>
  <c r="U69" i="5"/>
  <c r="R69" i="1" s="1"/>
  <c r="U68" i="5"/>
  <c r="R68" i="1" s="1"/>
  <c r="U67" i="5"/>
  <c r="R67" i="1" s="1"/>
  <c r="U66" i="5"/>
  <c r="R66" i="1" s="1"/>
  <c r="T64" i="5"/>
  <c r="S64" i="5"/>
  <c r="R64" i="5"/>
  <c r="Q64" i="5"/>
  <c r="U63" i="5"/>
  <c r="R63" i="1" s="1"/>
  <c r="S63" i="1" s="1"/>
  <c r="U62" i="5"/>
  <c r="R62" i="1" s="1"/>
  <c r="S62" i="1" s="1"/>
  <c r="T60" i="5"/>
  <c r="S60" i="5"/>
  <c r="R60" i="5"/>
  <c r="Q60" i="5"/>
  <c r="U59" i="5"/>
  <c r="R59" i="1" s="1"/>
  <c r="U58" i="5"/>
  <c r="R58" i="1" s="1"/>
  <c r="T56" i="5"/>
  <c r="S56" i="5"/>
  <c r="R56" i="5"/>
  <c r="Q56" i="5"/>
  <c r="U55" i="5"/>
  <c r="R55" i="1" s="1"/>
  <c r="U54" i="5"/>
  <c r="R54" i="1" s="1"/>
  <c r="U53" i="5"/>
  <c r="R53" i="1" s="1"/>
  <c r="U52" i="5"/>
  <c r="R52" i="1" s="1"/>
  <c r="T50" i="5"/>
  <c r="S50" i="5"/>
  <c r="R50" i="5"/>
  <c r="Q50" i="5"/>
  <c r="U49" i="5"/>
  <c r="R49" i="1" s="1"/>
  <c r="U48" i="5"/>
  <c r="R48" i="1" s="1"/>
  <c r="T46" i="5"/>
  <c r="S46" i="5"/>
  <c r="R46" i="5"/>
  <c r="Q46" i="5"/>
  <c r="U45" i="5"/>
  <c r="R45" i="1" s="1"/>
  <c r="U44" i="5"/>
  <c r="R44" i="1" s="1"/>
  <c r="T42" i="5"/>
  <c r="U41" i="5"/>
  <c r="R41" i="1" s="1"/>
  <c r="U40" i="5"/>
  <c r="R40" i="1" s="1"/>
  <c r="U39" i="5"/>
  <c r="R39" i="1" s="1"/>
  <c r="U38" i="5"/>
  <c r="R38" i="1" s="1"/>
  <c r="S38" i="1" s="1"/>
  <c r="T36" i="5"/>
  <c r="S36" i="5"/>
  <c r="R36" i="5"/>
  <c r="Q36" i="5"/>
  <c r="U35" i="5"/>
  <c r="R35" i="1" s="1"/>
  <c r="U34" i="5"/>
  <c r="R34" i="1" s="1"/>
  <c r="R32" i="5"/>
  <c r="U31" i="5"/>
  <c r="R31" i="1" s="1"/>
  <c r="U30" i="5"/>
  <c r="R30" i="1" s="1"/>
  <c r="U29" i="5"/>
  <c r="R29" i="1" s="1"/>
  <c r="T27" i="5"/>
  <c r="S27" i="5"/>
  <c r="R27" i="5"/>
  <c r="Q27" i="5"/>
  <c r="U26" i="5"/>
  <c r="R26" i="1" s="1"/>
  <c r="U25" i="5"/>
  <c r="R25" i="1" s="1"/>
  <c r="R23" i="1"/>
  <c r="U22" i="5"/>
  <c r="R22" i="1" s="1"/>
  <c r="U21" i="5"/>
  <c r="R21" i="1" s="1"/>
  <c r="U20" i="5"/>
  <c r="R20" i="1" s="1"/>
  <c r="U19" i="5"/>
  <c r="R19" i="1" s="1"/>
  <c r="T17" i="5"/>
  <c r="S17" i="5"/>
  <c r="R17" i="5"/>
  <c r="Q17" i="5"/>
  <c r="U16" i="5"/>
  <c r="R16" i="1" s="1"/>
  <c r="U15" i="5"/>
  <c r="R15" i="1" s="1"/>
  <c r="U14" i="5"/>
  <c r="R14" i="1" s="1"/>
  <c r="U13" i="5"/>
  <c r="R13" i="1" s="1"/>
  <c r="T11" i="5"/>
  <c r="S11" i="5"/>
  <c r="R11" i="5"/>
  <c r="Q11" i="5"/>
  <c r="U10" i="5"/>
  <c r="R10" i="1" s="1"/>
  <c r="U9" i="5"/>
  <c r="R9" i="1" s="1"/>
  <c r="U8" i="5"/>
  <c r="R8" i="1" s="1"/>
  <c r="T6" i="5"/>
  <c r="S6" i="5"/>
  <c r="R6" i="5"/>
  <c r="Q6" i="5"/>
  <c r="U5" i="5"/>
  <c r="R5" i="1" s="1"/>
  <c r="U4" i="5"/>
  <c r="R4" i="1" s="1"/>
  <c r="U3" i="5"/>
  <c r="R3" i="1" s="1"/>
  <c r="G79" i="5"/>
  <c r="F79" i="5"/>
  <c r="E79" i="5"/>
  <c r="D79" i="5"/>
  <c r="C79" i="5"/>
  <c r="H78" i="5"/>
  <c r="Q78" i="1" s="1"/>
  <c r="H77" i="5"/>
  <c r="Q77" i="1" s="1"/>
  <c r="G75" i="5"/>
  <c r="F75" i="5"/>
  <c r="E75" i="5"/>
  <c r="D75" i="5"/>
  <c r="C75" i="5"/>
  <c r="H74" i="5"/>
  <c r="Q74" i="1" s="1"/>
  <c r="H73" i="5"/>
  <c r="Q73" i="1" s="1"/>
  <c r="G71" i="5"/>
  <c r="F71" i="5"/>
  <c r="E71" i="5"/>
  <c r="D71" i="5"/>
  <c r="C71" i="5"/>
  <c r="H70" i="5"/>
  <c r="Q70" i="1" s="1"/>
  <c r="S70" i="1" s="1"/>
  <c r="H69" i="5"/>
  <c r="Q69" i="1" s="1"/>
  <c r="S69" i="1" s="1"/>
  <c r="H68" i="5"/>
  <c r="Q68" i="1" s="1"/>
  <c r="S68" i="1" s="1"/>
  <c r="H67" i="5"/>
  <c r="Q67" i="1" s="1"/>
  <c r="S67" i="1" s="1"/>
  <c r="H66" i="5"/>
  <c r="Q66" i="1" s="1"/>
  <c r="S66" i="1" s="1"/>
  <c r="G64" i="5"/>
  <c r="F64" i="5"/>
  <c r="E64" i="5"/>
  <c r="D64" i="5"/>
  <c r="C64" i="5"/>
  <c r="G60" i="5"/>
  <c r="F60" i="5"/>
  <c r="E60" i="5"/>
  <c r="D60" i="5"/>
  <c r="C60" i="5"/>
  <c r="H59" i="5"/>
  <c r="Q59" i="1" s="1"/>
  <c r="S59" i="1" s="1"/>
  <c r="H58" i="5"/>
  <c r="Q58" i="1" s="1"/>
  <c r="G56" i="5"/>
  <c r="F56" i="5"/>
  <c r="E56" i="5"/>
  <c r="D56" i="5"/>
  <c r="C56" i="5"/>
  <c r="H55" i="5"/>
  <c r="Q55" i="1" s="1"/>
  <c r="H54" i="5"/>
  <c r="Q54" i="1" s="1"/>
  <c r="H53" i="5"/>
  <c r="Q53" i="1" s="1"/>
  <c r="H52" i="5"/>
  <c r="Q52" i="1" s="1"/>
  <c r="G50" i="5"/>
  <c r="F50" i="5"/>
  <c r="E50" i="5"/>
  <c r="D50" i="5"/>
  <c r="C50" i="5"/>
  <c r="H49" i="5"/>
  <c r="Q49" i="1" s="1"/>
  <c r="H48" i="5"/>
  <c r="Q48" i="1" s="1"/>
  <c r="G46" i="5"/>
  <c r="F46" i="5"/>
  <c r="E46" i="5"/>
  <c r="D46" i="5"/>
  <c r="C46" i="5"/>
  <c r="H45" i="5"/>
  <c r="Q45" i="1" s="1"/>
  <c r="H44" i="5"/>
  <c r="Q44" i="1" s="1"/>
  <c r="D42" i="5"/>
  <c r="H41" i="5"/>
  <c r="Q41" i="1" s="1"/>
  <c r="H40" i="5"/>
  <c r="Q40" i="1" s="1"/>
  <c r="H39" i="5"/>
  <c r="Q39" i="1" s="1"/>
  <c r="G36" i="5"/>
  <c r="F36" i="5"/>
  <c r="E36" i="5"/>
  <c r="D36" i="5"/>
  <c r="C36" i="5"/>
  <c r="H35" i="5"/>
  <c r="Q35" i="1" s="1"/>
  <c r="H34" i="5"/>
  <c r="Q34" i="1" s="1"/>
  <c r="G32" i="5"/>
  <c r="F32" i="5"/>
  <c r="E32" i="5"/>
  <c r="D32" i="5"/>
  <c r="C32" i="5"/>
  <c r="H31" i="5"/>
  <c r="Q31" i="1" s="1"/>
  <c r="H30" i="5"/>
  <c r="Q30" i="1" s="1"/>
  <c r="H29" i="5"/>
  <c r="Q29" i="1" s="1"/>
  <c r="G27" i="5"/>
  <c r="F27" i="5"/>
  <c r="E27" i="5"/>
  <c r="D27" i="5"/>
  <c r="C27" i="5"/>
  <c r="H26" i="5"/>
  <c r="Q26" i="1" s="1"/>
  <c r="H25" i="5"/>
  <c r="Q25" i="1" s="1"/>
  <c r="G23" i="5"/>
  <c r="D23" i="5"/>
  <c r="C23" i="5"/>
  <c r="H22" i="5"/>
  <c r="Q22" i="1" s="1"/>
  <c r="H21" i="5"/>
  <c r="Q21" i="1" s="1"/>
  <c r="H20" i="5"/>
  <c r="Q20" i="1" s="1"/>
  <c r="H19" i="5"/>
  <c r="Q19" i="1" s="1"/>
  <c r="G17" i="5"/>
  <c r="F17" i="5"/>
  <c r="E17" i="5"/>
  <c r="D17" i="5"/>
  <c r="C17" i="5"/>
  <c r="H16" i="5"/>
  <c r="Q16" i="1" s="1"/>
  <c r="H15" i="5"/>
  <c r="Q15" i="1" s="1"/>
  <c r="H14" i="5"/>
  <c r="Q14" i="1" s="1"/>
  <c r="H13" i="5"/>
  <c r="Q13" i="1" s="1"/>
  <c r="G11" i="5"/>
  <c r="F11" i="5"/>
  <c r="E11" i="5"/>
  <c r="D11" i="5"/>
  <c r="C11" i="5"/>
  <c r="H10" i="5"/>
  <c r="Q10" i="1" s="1"/>
  <c r="H9" i="5"/>
  <c r="Q9" i="1" s="1"/>
  <c r="H8" i="5"/>
  <c r="Q8" i="1" s="1"/>
  <c r="G6" i="5"/>
  <c r="F6" i="5"/>
  <c r="E6" i="5"/>
  <c r="D6" i="5"/>
  <c r="C6" i="5"/>
  <c r="H5" i="5"/>
  <c r="Q5" i="1" s="1"/>
  <c r="H4" i="5"/>
  <c r="Q4" i="1" s="1"/>
  <c r="H3" i="5"/>
  <c r="S13" i="1" l="1"/>
  <c r="S41" i="1"/>
  <c r="AB16" i="5"/>
  <c r="S4" i="1"/>
  <c r="S53" i="1"/>
  <c r="AB73" i="5"/>
  <c r="S16" i="1"/>
  <c r="S34" i="1"/>
  <c r="S45" i="1"/>
  <c r="S73" i="1"/>
  <c r="S39" i="1"/>
  <c r="S44" i="1"/>
  <c r="AB54" i="8"/>
  <c r="AB13" i="8"/>
  <c r="J5" i="1"/>
  <c r="J66" i="1"/>
  <c r="J70" i="1"/>
  <c r="J30" i="1"/>
  <c r="N6" i="6"/>
  <c r="Q6" i="6"/>
  <c r="Q11" i="6"/>
  <c r="AK11" i="6"/>
  <c r="N11" i="6"/>
  <c r="P11" i="6"/>
  <c r="O17" i="6"/>
  <c r="AN17" i="6"/>
  <c r="AK17" i="6"/>
  <c r="AR17" i="6"/>
  <c r="Q23" i="6"/>
  <c r="O23" i="6"/>
  <c r="N23" i="6"/>
  <c r="M27" i="6"/>
  <c r="Q27" i="6"/>
  <c r="L27" i="6"/>
  <c r="AN32" i="6"/>
  <c r="L32" i="6"/>
  <c r="AM32" i="6"/>
  <c r="AQ32" i="6"/>
  <c r="AH32" i="6"/>
  <c r="AS32" i="6"/>
  <c r="AJ32" i="6"/>
  <c r="AP32" i="6"/>
  <c r="N36" i="6"/>
  <c r="O36" i="6"/>
  <c r="AN42" i="6"/>
  <c r="AI42" i="6"/>
  <c r="AQ42" i="6"/>
  <c r="AJ42" i="6"/>
  <c r="L42" i="6"/>
  <c r="AH42" i="6"/>
  <c r="AK42" i="6"/>
  <c r="AO42" i="6"/>
  <c r="AR42" i="6"/>
  <c r="M42" i="6"/>
  <c r="AL42" i="6"/>
  <c r="AP42" i="6"/>
  <c r="F45" i="1"/>
  <c r="AK46" i="6"/>
  <c r="AS46" i="6"/>
  <c r="AL46" i="6"/>
  <c r="AP46" i="6"/>
  <c r="AH46" i="6"/>
  <c r="AI46" i="6"/>
  <c r="AS50" i="6"/>
  <c r="AM50" i="6"/>
  <c r="AK56" i="6"/>
  <c r="AN56" i="6"/>
  <c r="AL56" i="6"/>
  <c r="O56" i="6"/>
  <c r="Q60" i="6"/>
  <c r="O60" i="6"/>
  <c r="P64" i="6"/>
  <c r="AQ64" i="6"/>
  <c r="AR64" i="6"/>
  <c r="AH64" i="6"/>
  <c r="O71" i="6"/>
  <c r="P71" i="6"/>
  <c r="AM79" i="6"/>
  <c r="AL79" i="6"/>
  <c r="AI79" i="6"/>
  <c r="AJ79" i="6"/>
  <c r="AN79" i="6"/>
  <c r="AQ79" i="6"/>
  <c r="L79" i="6"/>
  <c r="AK79" i="6"/>
  <c r="AO79" i="6"/>
  <c r="AS79" i="6"/>
  <c r="F52" i="1"/>
  <c r="F31" i="1"/>
  <c r="F67" i="1"/>
  <c r="F5" i="1"/>
  <c r="F13" i="1"/>
  <c r="F73" i="1"/>
  <c r="F3" i="1"/>
  <c r="F63" i="1"/>
  <c r="AF23" i="6"/>
  <c r="E23" i="1" s="1"/>
  <c r="AF32" i="6"/>
  <c r="E32" i="1" s="1"/>
  <c r="AF42" i="6"/>
  <c r="E42" i="1" s="1"/>
  <c r="F8" i="1"/>
  <c r="F48" i="1"/>
  <c r="F68" i="1"/>
  <c r="AU53" i="6"/>
  <c r="AU70" i="6"/>
  <c r="AF79" i="6"/>
  <c r="E79" i="1" s="1"/>
  <c r="AU38" i="6"/>
  <c r="AU26" i="6"/>
  <c r="AU62" i="6"/>
  <c r="AU16" i="6"/>
  <c r="F26" i="1"/>
  <c r="F16" i="1"/>
  <c r="F30" i="1"/>
  <c r="F62" i="1"/>
  <c r="F66" i="1"/>
  <c r="F70" i="1"/>
  <c r="L64" i="9"/>
  <c r="AF23" i="9"/>
  <c r="N23" i="1" s="1"/>
  <c r="AF42" i="9"/>
  <c r="N42" i="1" s="1"/>
  <c r="AF32" i="9"/>
  <c r="N32" i="1" s="1"/>
  <c r="AF44" i="9"/>
  <c r="N44" i="1" s="1"/>
  <c r="AF50" i="9"/>
  <c r="N50" i="1" s="1"/>
  <c r="AF79" i="9"/>
  <c r="N79" i="1" s="1"/>
  <c r="AE46" i="9"/>
  <c r="C71" i="9"/>
  <c r="D71" i="9"/>
  <c r="U82" i="9"/>
  <c r="Y82" i="9"/>
  <c r="AC82" i="9"/>
  <c r="X82" i="9"/>
  <c r="O45" i="1"/>
  <c r="C32" i="9"/>
  <c r="U79" i="8"/>
  <c r="X79" i="8" s="1"/>
  <c r="H79" i="8"/>
  <c r="O79" i="8" s="1"/>
  <c r="H75" i="8"/>
  <c r="K75" i="8" s="1"/>
  <c r="AB73" i="8"/>
  <c r="U75" i="8"/>
  <c r="Y75" i="8" s="1"/>
  <c r="H71" i="8"/>
  <c r="N71" i="8" s="1"/>
  <c r="U71" i="8"/>
  <c r="Z71" i="8" s="1"/>
  <c r="AB68" i="8"/>
  <c r="H64" i="8"/>
  <c r="O64" i="8" s="1"/>
  <c r="U64" i="8"/>
  <c r="Y64" i="8" s="1"/>
  <c r="AB59" i="8"/>
  <c r="H60" i="8"/>
  <c r="M60" i="8" s="1"/>
  <c r="U60" i="8"/>
  <c r="Z60" i="8" s="1"/>
  <c r="J52" i="1"/>
  <c r="H56" i="8"/>
  <c r="O56" i="8" s="1"/>
  <c r="U56" i="8"/>
  <c r="Z56" i="8" s="1"/>
  <c r="U50" i="8"/>
  <c r="Z50" i="8" s="1"/>
  <c r="H50" i="8"/>
  <c r="L50" i="8" s="1"/>
  <c r="H46" i="8"/>
  <c r="K46" i="8" s="1"/>
  <c r="J44" i="1"/>
  <c r="U46" i="8"/>
  <c r="I46" i="1" s="1"/>
  <c r="H42" i="8"/>
  <c r="K42" i="8" s="1"/>
  <c r="U42" i="8"/>
  <c r="X42" i="8" s="1"/>
  <c r="AB39" i="8"/>
  <c r="H36" i="8"/>
  <c r="M36" i="8" s="1"/>
  <c r="U36" i="8"/>
  <c r="Z36" i="8" s="1"/>
  <c r="H32" i="8"/>
  <c r="N32" i="8" s="1"/>
  <c r="U32" i="8"/>
  <c r="Y32" i="8" s="1"/>
  <c r="H27" i="8"/>
  <c r="K27" i="8" s="1"/>
  <c r="U27" i="8"/>
  <c r="X27" i="8" s="1"/>
  <c r="H23" i="8"/>
  <c r="O23" i="8" s="1"/>
  <c r="H17" i="8"/>
  <c r="N17" i="8" s="1"/>
  <c r="U17" i="8"/>
  <c r="Y17" i="8" s="1"/>
  <c r="U11" i="8"/>
  <c r="Y11" i="8" s="1"/>
  <c r="H11" i="8"/>
  <c r="M11" i="8" s="1"/>
  <c r="U6" i="8"/>
  <c r="X6" i="8" s="1"/>
  <c r="H6" i="8"/>
  <c r="M6" i="8" s="1"/>
  <c r="AB5" i="8"/>
  <c r="J45" i="1"/>
  <c r="J25" i="1"/>
  <c r="J67" i="1"/>
  <c r="J8" i="1"/>
  <c r="J31" i="1"/>
  <c r="J53" i="1"/>
  <c r="J73" i="1"/>
  <c r="J54" i="1"/>
  <c r="J74" i="1"/>
  <c r="J3" i="1"/>
  <c r="J26" i="1"/>
  <c r="J48" i="1"/>
  <c r="J68" i="1"/>
  <c r="U6" i="5"/>
  <c r="Z6" i="5" s="1"/>
  <c r="X6" i="5"/>
  <c r="AB4" i="5"/>
  <c r="U11" i="5"/>
  <c r="X11" i="5" s="1"/>
  <c r="S15" i="1"/>
  <c r="U17" i="5"/>
  <c r="Y17" i="5" s="1"/>
  <c r="U27" i="5"/>
  <c r="Y27" i="5" s="1"/>
  <c r="U32" i="5"/>
  <c r="S35" i="1"/>
  <c r="U36" i="5"/>
  <c r="Z36" i="5" s="1"/>
  <c r="U42" i="5"/>
  <c r="H42" i="5"/>
  <c r="Q42" i="1" s="1"/>
  <c r="AB41" i="5"/>
  <c r="S40" i="1"/>
  <c r="AB45" i="5"/>
  <c r="U46" i="5"/>
  <c r="Y46" i="5" s="1"/>
  <c r="U50" i="5"/>
  <c r="Y50" i="5" s="1"/>
  <c r="U56" i="5"/>
  <c r="Z56" i="5" s="1"/>
  <c r="AB55" i="5"/>
  <c r="U60" i="5"/>
  <c r="X60" i="5" s="1"/>
  <c r="U64" i="5"/>
  <c r="Y64" i="5" s="1"/>
  <c r="U71" i="5"/>
  <c r="Y71" i="5" s="1"/>
  <c r="U75" i="5"/>
  <c r="X75" i="5" s="1"/>
  <c r="H79" i="5"/>
  <c r="N79" i="5" s="1"/>
  <c r="U79" i="5"/>
  <c r="Z79" i="5" s="1"/>
  <c r="S14" i="1"/>
  <c r="H32" i="5"/>
  <c r="K32" i="5" s="1"/>
  <c r="H17" i="5"/>
  <c r="N17" i="5" s="1"/>
  <c r="H46" i="5"/>
  <c r="L46" i="5" s="1"/>
  <c r="H56" i="5"/>
  <c r="K56" i="5" s="1"/>
  <c r="H64" i="5"/>
  <c r="Q64" i="1" s="1"/>
  <c r="H36" i="5"/>
  <c r="M36" i="5" s="1"/>
  <c r="H27" i="5"/>
  <c r="M27" i="5" s="1"/>
  <c r="H75" i="5"/>
  <c r="M75" i="5" s="1"/>
  <c r="R82" i="5"/>
  <c r="H23" i="5"/>
  <c r="K23" i="5" s="1"/>
  <c r="H6" i="5"/>
  <c r="M6" i="5" s="1"/>
  <c r="H11" i="5"/>
  <c r="L11" i="5" s="1"/>
  <c r="H50" i="5"/>
  <c r="O50" i="5" s="1"/>
  <c r="H60" i="5"/>
  <c r="M60" i="5" s="1"/>
  <c r="H71" i="5"/>
  <c r="O71" i="5" s="1"/>
  <c r="S48" i="1"/>
  <c r="S5" i="1"/>
  <c r="S54" i="1"/>
  <c r="S8" i="1"/>
  <c r="S25" i="1"/>
  <c r="S49" i="1"/>
  <c r="S55" i="1"/>
  <c r="S77" i="1"/>
  <c r="I59" i="9"/>
  <c r="M59" i="1" s="1"/>
  <c r="I49" i="9"/>
  <c r="M49" i="1" s="1"/>
  <c r="D60" i="9"/>
  <c r="F82" i="5"/>
  <c r="S82" i="8"/>
  <c r="J63" i="1"/>
  <c r="C82" i="8"/>
  <c r="J35" i="1"/>
  <c r="AB34" i="5"/>
  <c r="AB26" i="5"/>
  <c r="AB70" i="5"/>
  <c r="AC82" i="6"/>
  <c r="AU19" i="6"/>
  <c r="AB3" i="5"/>
  <c r="Q3" i="1"/>
  <c r="S3" i="1" s="1"/>
  <c r="D82" i="5"/>
  <c r="S52" i="1"/>
  <c r="S78" i="1"/>
  <c r="T82" i="5"/>
  <c r="S74" i="1"/>
  <c r="J4" i="1"/>
  <c r="E82" i="8"/>
  <c r="J49" i="1"/>
  <c r="J69" i="1"/>
  <c r="Q82" i="8"/>
  <c r="AB13" i="5"/>
  <c r="AB44" i="5"/>
  <c r="AB62" i="5"/>
  <c r="AB9" i="5"/>
  <c r="AB14" i="5"/>
  <c r="AB39" i="5"/>
  <c r="AB49" i="5"/>
  <c r="AB53" i="5"/>
  <c r="AB63" i="5"/>
  <c r="AB68" i="5"/>
  <c r="AB3" i="8"/>
  <c r="AB8" i="8"/>
  <c r="AB15" i="8"/>
  <c r="AB25" i="8"/>
  <c r="AB30" i="8"/>
  <c r="AB35" i="8"/>
  <c r="AB44" i="8"/>
  <c r="AB52" i="8"/>
  <c r="AB66" i="8"/>
  <c r="AB70" i="8"/>
  <c r="C11" i="9"/>
  <c r="AB82" i="9"/>
  <c r="F9" i="1"/>
  <c r="I17" i="6"/>
  <c r="L17" i="6" s="1"/>
  <c r="F29" i="1"/>
  <c r="F49" i="1"/>
  <c r="F69" i="1"/>
  <c r="S82" i="6"/>
  <c r="W82" i="6"/>
  <c r="AA82" i="6"/>
  <c r="AE82" i="6"/>
  <c r="AF50" i="6"/>
  <c r="E50" i="1" s="1"/>
  <c r="AF60" i="6"/>
  <c r="E60" i="1" s="1"/>
  <c r="AF71" i="6"/>
  <c r="E71" i="1" s="1"/>
  <c r="AU45" i="6"/>
  <c r="AU74" i="6"/>
  <c r="AU8" i="6"/>
  <c r="AU29" i="6"/>
  <c r="AU52" i="6"/>
  <c r="AU77" i="6"/>
  <c r="AU68" i="6"/>
  <c r="AU55" i="6"/>
  <c r="AU41" i="6"/>
  <c r="AU31" i="6"/>
  <c r="AU21" i="6"/>
  <c r="AU14" i="6"/>
  <c r="AU4" i="6"/>
  <c r="AB52" i="5"/>
  <c r="AB59" i="5"/>
  <c r="U82" i="6"/>
  <c r="Y82" i="6"/>
  <c r="AU63" i="6"/>
  <c r="AU9" i="6"/>
  <c r="E82" i="5"/>
  <c r="S9" i="1"/>
  <c r="S26" i="1"/>
  <c r="S58" i="1"/>
  <c r="Q82" i="5"/>
  <c r="F82" i="8"/>
  <c r="J29" i="1"/>
  <c r="J55" i="1"/>
  <c r="R82" i="8"/>
  <c r="J62" i="1"/>
  <c r="AB5" i="5"/>
  <c r="AB25" i="5"/>
  <c r="AB48" i="5"/>
  <c r="AB66" i="5"/>
  <c r="AB35" i="5"/>
  <c r="AB67" i="5"/>
  <c r="AB4" i="8"/>
  <c r="AB16" i="8"/>
  <c r="AB26" i="8"/>
  <c r="AB31" i="8"/>
  <c r="AB45" i="8"/>
  <c r="AB53" i="8"/>
  <c r="AB58" i="8"/>
  <c r="AB67" i="8"/>
  <c r="AB77" i="8"/>
  <c r="I25" i="9"/>
  <c r="M25" i="1" s="1"/>
  <c r="I40" i="9"/>
  <c r="M40" i="1" s="1"/>
  <c r="D50" i="9"/>
  <c r="I70" i="9"/>
  <c r="M70" i="1" s="1"/>
  <c r="AF11" i="9"/>
  <c r="N11" i="1" s="1"/>
  <c r="AF17" i="9"/>
  <c r="N17" i="1" s="1"/>
  <c r="AF36" i="9"/>
  <c r="N36" i="1" s="1"/>
  <c r="S46" i="9"/>
  <c r="W82" i="9"/>
  <c r="AA82" i="9"/>
  <c r="AF56" i="9"/>
  <c r="N56" i="1" s="1"/>
  <c r="AF60" i="9"/>
  <c r="N60" i="1" s="1"/>
  <c r="AF74" i="9"/>
  <c r="N74" i="1" s="1"/>
  <c r="AU45" i="9"/>
  <c r="F14" i="1"/>
  <c r="I32" i="6"/>
  <c r="M32" i="6" s="1"/>
  <c r="F34" i="1"/>
  <c r="I50" i="6"/>
  <c r="O50" i="6" s="1"/>
  <c r="F54" i="1"/>
  <c r="F74" i="1"/>
  <c r="T82" i="6"/>
  <c r="X82" i="6"/>
  <c r="AB82" i="6"/>
  <c r="AF17" i="6"/>
  <c r="E17" i="1" s="1"/>
  <c r="AF36" i="6"/>
  <c r="E36" i="1" s="1"/>
  <c r="AF46" i="6"/>
  <c r="E46" i="1" s="1"/>
  <c r="AF56" i="6"/>
  <c r="E56" i="1" s="1"/>
  <c r="E53" i="1"/>
  <c r="F53" i="1" s="1"/>
  <c r="AU13" i="6"/>
  <c r="AU34" i="6"/>
  <c r="AU58" i="6"/>
  <c r="AU78" i="6"/>
  <c r="AU67" i="6"/>
  <c r="AU54" i="6"/>
  <c r="AU40" i="6"/>
  <c r="AU30" i="6"/>
  <c r="AU20" i="6"/>
  <c r="AU10" i="6"/>
  <c r="G82" i="8"/>
  <c r="AU39" i="6"/>
  <c r="C82" i="5"/>
  <c r="G82" i="5"/>
  <c r="S82" i="5"/>
  <c r="S10" i="1"/>
  <c r="D82" i="8"/>
  <c r="T82" i="8"/>
  <c r="I56" i="1"/>
  <c r="AB8" i="5"/>
  <c r="AB38" i="5"/>
  <c r="AB58" i="5"/>
  <c r="AB77" i="5"/>
  <c r="AB15" i="5"/>
  <c r="AB40" i="5"/>
  <c r="AB54" i="5"/>
  <c r="AB69" i="5"/>
  <c r="AB78" i="5"/>
  <c r="AB14" i="8"/>
  <c r="AB29" i="8"/>
  <c r="AB34" i="8"/>
  <c r="AB49" i="8"/>
  <c r="AB55" i="8"/>
  <c r="AB69" i="8"/>
  <c r="AB74" i="8"/>
  <c r="AF64" i="9"/>
  <c r="N64" i="1" s="1"/>
  <c r="F4" i="1"/>
  <c r="F44" i="1"/>
  <c r="D82" i="6"/>
  <c r="V82" i="6"/>
  <c r="Z82" i="6"/>
  <c r="AD82" i="6"/>
  <c r="AF27" i="6"/>
  <c r="E27" i="1" s="1"/>
  <c r="E25" i="1"/>
  <c r="F25" i="1" s="1"/>
  <c r="AF64" i="6"/>
  <c r="E64" i="1" s="1"/>
  <c r="AF75" i="6"/>
  <c r="E75" i="1" s="1"/>
  <c r="AU44" i="6"/>
  <c r="AU73" i="6"/>
  <c r="AU3" i="6"/>
  <c r="AU25" i="6"/>
  <c r="AU48" i="6"/>
  <c r="AU66" i="6"/>
  <c r="AU69" i="6"/>
  <c r="AU59" i="6"/>
  <c r="AU49" i="6"/>
  <c r="AU35" i="6"/>
  <c r="AU22" i="6"/>
  <c r="AU15" i="6"/>
  <c r="AU5" i="6"/>
  <c r="AB63" i="8"/>
  <c r="AB62" i="8"/>
  <c r="AB48" i="8"/>
  <c r="AB74" i="5"/>
  <c r="AB10" i="5"/>
  <c r="AF6" i="6"/>
  <c r="E6" i="1" s="1"/>
  <c r="AF11" i="6"/>
  <c r="E11" i="1" s="1"/>
  <c r="I23" i="6"/>
  <c r="L23" i="6" s="1"/>
  <c r="I36" i="6"/>
  <c r="M36" i="6" s="1"/>
  <c r="I56" i="6"/>
  <c r="Q56" i="6" s="1"/>
  <c r="I75" i="6"/>
  <c r="N75" i="6" s="1"/>
  <c r="H82" i="6"/>
  <c r="C82" i="6"/>
  <c r="F82" i="6"/>
  <c r="I6" i="6"/>
  <c r="O6" i="6" s="1"/>
  <c r="I11" i="6"/>
  <c r="M11" i="6" s="1"/>
  <c r="I27" i="6"/>
  <c r="N27" i="6" s="1"/>
  <c r="I46" i="6"/>
  <c r="L46" i="6" s="1"/>
  <c r="I64" i="6"/>
  <c r="L64" i="6" s="1"/>
  <c r="I71" i="6"/>
  <c r="N71" i="6" s="1"/>
  <c r="G82" i="6"/>
  <c r="E82" i="6"/>
  <c r="I42" i="6"/>
  <c r="O42" i="6" s="1"/>
  <c r="I60" i="6"/>
  <c r="L60" i="6" s="1"/>
  <c r="I79" i="6"/>
  <c r="I10" i="9"/>
  <c r="M10" i="1" s="1"/>
  <c r="D17" i="9"/>
  <c r="T75" i="9"/>
  <c r="T82" i="9" s="1"/>
  <c r="I21" i="9"/>
  <c r="M21" i="1" s="1"/>
  <c r="I26" i="9"/>
  <c r="M26" i="1" s="1"/>
  <c r="I39" i="9"/>
  <c r="M39" i="1" s="1"/>
  <c r="AF27" i="9"/>
  <c r="N27" i="1" s="1"/>
  <c r="V82" i="9"/>
  <c r="Z82" i="9"/>
  <c r="AD82" i="9"/>
  <c r="AE75" i="9"/>
  <c r="I41" i="9"/>
  <c r="M41" i="1" s="1"/>
  <c r="I75" i="9"/>
  <c r="Q75" i="9" s="1"/>
  <c r="D11" i="9"/>
  <c r="D32" i="9"/>
  <c r="I15" i="9"/>
  <c r="M15" i="1" s="1"/>
  <c r="C42" i="9"/>
  <c r="I31" i="9"/>
  <c r="M31" i="1" s="1"/>
  <c r="AF6" i="9"/>
  <c r="N6" i="1" s="1"/>
  <c r="AF73" i="9"/>
  <c r="N73" i="1" s="1"/>
  <c r="O73" i="1" s="1"/>
  <c r="F11" i="9"/>
  <c r="C17" i="9"/>
  <c r="D23" i="9"/>
  <c r="C27" i="9"/>
  <c r="I34" i="9"/>
  <c r="M34" i="1" s="1"/>
  <c r="D42" i="9"/>
  <c r="I58" i="9"/>
  <c r="M58" i="1" s="1"/>
  <c r="I69" i="9"/>
  <c r="M69" i="1" s="1"/>
  <c r="E82" i="9"/>
  <c r="C79" i="9"/>
  <c r="I3" i="9"/>
  <c r="M3" i="1" s="1"/>
  <c r="I9" i="9"/>
  <c r="M9" i="1" s="1"/>
  <c r="I22" i="9"/>
  <c r="M22" i="1" s="1"/>
  <c r="D27" i="9"/>
  <c r="I29" i="9"/>
  <c r="M29" i="1" s="1"/>
  <c r="I38" i="9"/>
  <c r="M38" i="1" s="1"/>
  <c r="I48" i="9"/>
  <c r="M48" i="1" s="1"/>
  <c r="I55" i="9"/>
  <c r="M55" i="1" s="1"/>
  <c r="I63" i="9"/>
  <c r="M63" i="1" s="1"/>
  <c r="G82" i="9"/>
  <c r="I74" i="9"/>
  <c r="D79" i="9"/>
  <c r="I14" i="9"/>
  <c r="M14" i="1" s="1"/>
  <c r="I36" i="9"/>
  <c r="Q36" i="9" s="1"/>
  <c r="C60" i="9"/>
  <c r="I78" i="9"/>
  <c r="M78" i="1" s="1"/>
  <c r="I64" i="9"/>
  <c r="O64" i="9" s="1"/>
  <c r="H82" i="9"/>
  <c r="C23" i="9"/>
  <c r="C50" i="9"/>
  <c r="C56" i="9"/>
  <c r="I77" i="9"/>
  <c r="M77" i="1" s="1"/>
  <c r="C6" i="9"/>
  <c r="I8" i="9"/>
  <c r="M8" i="1" s="1"/>
  <c r="O8" i="1" s="1"/>
  <c r="I13" i="9"/>
  <c r="M13" i="1" s="1"/>
  <c r="I44" i="9"/>
  <c r="H64" i="1"/>
  <c r="R60" i="1"/>
  <c r="W79" i="4"/>
  <c r="V79" i="4"/>
  <c r="U79" i="4"/>
  <c r="T79" i="4"/>
  <c r="Q79" i="4"/>
  <c r="O79" i="4"/>
  <c r="N79" i="4"/>
  <c r="M79" i="4"/>
  <c r="L79" i="4"/>
  <c r="K79" i="4"/>
  <c r="J79" i="4"/>
  <c r="I79" i="4"/>
  <c r="H79" i="4"/>
  <c r="G79" i="4"/>
  <c r="F79" i="4"/>
  <c r="E79" i="4"/>
  <c r="D79" i="4"/>
  <c r="C79" i="4"/>
  <c r="X78" i="4"/>
  <c r="Z78" i="4" s="1"/>
  <c r="P78" i="4"/>
  <c r="R78" i="4" s="1"/>
  <c r="X77" i="4"/>
  <c r="Z77" i="4" s="1"/>
  <c r="P77" i="4"/>
  <c r="R77" i="4" s="1"/>
  <c r="W75" i="4"/>
  <c r="V75" i="4"/>
  <c r="U75" i="4"/>
  <c r="T75" i="4"/>
  <c r="Q75" i="4"/>
  <c r="O75" i="4"/>
  <c r="N75" i="4"/>
  <c r="M75" i="4"/>
  <c r="L75" i="4"/>
  <c r="K75" i="4"/>
  <c r="J75" i="4"/>
  <c r="I75" i="4"/>
  <c r="H75" i="4"/>
  <c r="G75" i="4"/>
  <c r="F75" i="4"/>
  <c r="E75" i="4"/>
  <c r="D75" i="4"/>
  <c r="C75" i="4"/>
  <c r="X74" i="4"/>
  <c r="Z74" i="4" s="1"/>
  <c r="P74" i="4"/>
  <c r="R74" i="4" s="1"/>
  <c r="X73" i="4"/>
  <c r="Z73" i="4" s="1"/>
  <c r="P73" i="4"/>
  <c r="R73" i="4" s="1"/>
  <c r="W71" i="4"/>
  <c r="V71" i="4"/>
  <c r="U71" i="4"/>
  <c r="T71" i="4"/>
  <c r="Q71" i="4"/>
  <c r="O71" i="4"/>
  <c r="N71" i="4"/>
  <c r="M71" i="4"/>
  <c r="L71" i="4"/>
  <c r="K71" i="4"/>
  <c r="J71" i="4"/>
  <c r="I71" i="4"/>
  <c r="H71" i="4"/>
  <c r="G71" i="4"/>
  <c r="F71" i="4"/>
  <c r="E71" i="4"/>
  <c r="D71" i="4"/>
  <c r="C71" i="4"/>
  <c r="X70" i="4"/>
  <c r="Z70" i="4" s="1"/>
  <c r="P70" i="4"/>
  <c r="R70" i="4" s="1"/>
  <c r="X69" i="4"/>
  <c r="Z69" i="4" s="1"/>
  <c r="P69" i="4"/>
  <c r="R69" i="4" s="1"/>
  <c r="X68" i="4"/>
  <c r="Z68" i="4" s="1"/>
  <c r="P68" i="4"/>
  <c r="R68" i="4" s="1"/>
  <c r="X67" i="4"/>
  <c r="Z67" i="4" s="1"/>
  <c r="P67" i="4"/>
  <c r="R67" i="4" s="1"/>
  <c r="X66" i="4"/>
  <c r="Z66" i="4" s="1"/>
  <c r="P66" i="4"/>
  <c r="R66" i="4" s="1"/>
  <c r="W64" i="4"/>
  <c r="V64" i="4"/>
  <c r="U64" i="4"/>
  <c r="T64" i="4"/>
  <c r="Q64" i="4"/>
  <c r="O64" i="4"/>
  <c r="N64" i="4"/>
  <c r="M64" i="4"/>
  <c r="L64" i="4"/>
  <c r="K64" i="4"/>
  <c r="J64" i="4"/>
  <c r="I64" i="4"/>
  <c r="H64" i="4"/>
  <c r="G64" i="4"/>
  <c r="F64" i="4"/>
  <c r="E64" i="4"/>
  <c r="D64" i="4"/>
  <c r="C64" i="4"/>
  <c r="X63" i="4"/>
  <c r="Z63" i="4" s="1"/>
  <c r="P63" i="4"/>
  <c r="R63" i="4" s="1"/>
  <c r="X62" i="4"/>
  <c r="Z62" i="4" s="1"/>
  <c r="P62" i="4"/>
  <c r="R62" i="4" s="1"/>
  <c r="W60" i="4"/>
  <c r="V60" i="4"/>
  <c r="U60" i="4"/>
  <c r="T60" i="4"/>
  <c r="Q60" i="4"/>
  <c r="O60" i="4"/>
  <c r="N60" i="4"/>
  <c r="M60" i="4"/>
  <c r="L60" i="4"/>
  <c r="K60" i="4"/>
  <c r="J60" i="4"/>
  <c r="I60" i="4"/>
  <c r="H60" i="4"/>
  <c r="G60" i="4"/>
  <c r="F60" i="4"/>
  <c r="E60" i="4"/>
  <c r="D60" i="4"/>
  <c r="C60" i="4"/>
  <c r="X59" i="4"/>
  <c r="Z59" i="4" s="1"/>
  <c r="P59" i="4"/>
  <c r="R59" i="4" s="1"/>
  <c r="X58" i="4"/>
  <c r="Z58" i="4" s="1"/>
  <c r="P58" i="4"/>
  <c r="R58" i="4" s="1"/>
  <c r="W56" i="4"/>
  <c r="V56" i="4"/>
  <c r="U56" i="4"/>
  <c r="T56" i="4"/>
  <c r="Q56" i="4"/>
  <c r="O56" i="4"/>
  <c r="N56" i="4"/>
  <c r="M56" i="4"/>
  <c r="L56" i="4"/>
  <c r="K56" i="4"/>
  <c r="J56" i="4"/>
  <c r="I56" i="4"/>
  <c r="H56" i="4"/>
  <c r="G56" i="4"/>
  <c r="F56" i="4"/>
  <c r="E56" i="4"/>
  <c r="D56" i="4"/>
  <c r="C56" i="4"/>
  <c r="X55" i="4"/>
  <c r="Z55" i="4" s="1"/>
  <c r="P55" i="4"/>
  <c r="R55" i="4" s="1"/>
  <c r="X54" i="4"/>
  <c r="Z54" i="4" s="1"/>
  <c r="P54" i="4"/>
  <c r="R54" i="4" s="1"/>
  <c r="X53" i="4"/>
  <c r="Z53" i="4" s="1"/>
  <c r="P53" i="4"/>
  <c r="R53" i="4" s="1"/>
  <c r="X52" i="4"/>
  <c r="Z52" i="4" s="1"/>
  <c r="P52" i="4"/>
  <c r="P56" i="4" s="1"/>
  <c r="W50" i="4"/>
  <c r="V50" i="4"/>
  <c r="U50" i="4"/>
  <c r="T50" i="4"/>
  <c r="Q50" i="4"/>
  <c r="O50" i="4"/>
  <c r="N50" i="4"/>
  <c r="M50" i="4"/>
  <c r="L50" i="4"/>
  <c r="K50" i="4"/>
  <c r="J50" i="4"/>
  <c r="I50" i="4"/>
  <c r="H50" i="4"/>
  <c r="G50" i="4"/>
  <c r="F50" i="4"/>
  <c r="E50" i="4"/>
  <c r="D50" i="4"/>
  <c r="C50" i="4"/>
  <c r="X49" i="4"/>
  <c r="Z49" i="4" s="1"/>
  <c r="R49" i="4"/>
  <c r="P49" i="4"/>
  <c r="X48" i="4"/>
  <c r="Z48" i="4" s="1"/>
  <c r="P48" i="4"/>
  <c r="R48" i="4" s="1"/>
  <c r="W46" i="4"/>
  <c r="V46" i="4"/>
  <c r="U46" i="4"/>
  <c r="T46" i="4"/>
  <c r="Q46" i="4"/>
  <c r="O46" i="4"/>
  <c r="N46" i="4"/>
  <c r="M46" i="4"/>
  <c r="L46" i="4"/>
  <c r="K46" i="4"/>
  <c r="J46" i="4"/>
  <c r="I46" i="4"/>
  <c r="H46" i="4"/>
  <c r="G46" i="4"/>
  <c r="F46" i="4"/>
  <c r="E46" i="4"/>
  <c r="D46" i="4"/>
  <c r="C46" i="4"/>
  <c r="X45" i="4"/>
  <c r="Z45" i="4" s="1"/>
  <c r="P45" i="4"/>
  <c r="R45" i="4" s="1"/>
  <c r="Z44" i="4"/>
  <c r="X44" i="4"/>
  <c r="P44" i="4"/>
  <c r="R44" i="4" s="1"/>
  <c r="W42" i="4"/>
  <c r="V42" i="4"/>
  <c r="U42" i="4"/>
  <c r="T42" i="4"/>
  <c r="Q42" i="4"/>
  <c r="O42" i="4"/>
  <c r="N42" i="4"/>
  <c r="M42" i="4"/>
  <c r="L42" i="4"/>
  <c r="K42" i="4"/>
  <c r="J42" i="4"/>
  <c r="I42" i="4"/>
  <c r="H42" i="4"/>
  <c r="G42" i="4"/>
  <c r="F42" i="4"/>
  <c r="E42" i="4"/>
  <c r="D42" i="4"/>
  <c r="C42" i="4"/>
  <c r="X41" i="4"/>
  <c r="Z41" i="4" s="1"/>
  <c r="P41" i="4"/>
  <c r="R41" i="4" s="1"/>
  <c r="X40" i="4"/>
  <c r="Z40" i="4" s="1"/>
  <c r="P40" i="4"/>
  <c r="R40" i="4" s="1"/>
  <c r="X39" i="4"/>
  <c r="Z39" i="4" s="1"/>
  <c r="P39" i="4"/>
  <c r="R39" i="4" s="1"/>
  <c r="X38" i="4"/>
  <c r="Z38" i="4" s="1"/>
  <c r="P38" i="4"/>
  <c r="R38" i="4" s="1"/>
  <c r="W36" i="4"/>
  <c r="V36" i="4"/>
  <c r="U36" i="4"/>
  <c r="T36" i="4"/>
  <c r="Q36" i="4"/>
  <c r="O36" i="4"/>
  <c r="N36" i="4"/>
  <c r="M36" i="4"/>
  <c r="L36" i="4"/>
  <c r="K36" i="4"/>
  <c r="J36" i="4"/>
  <c r="I36" i="4"/>
  <c r="H36" i="4"/>
  <c r="G36" i="4"/>
  <c r="F36" i="4"/>
  <c r="E36" i="4"/>
  <c r="D36" i="4"/>
  <c r="C36" i="4"/>
  <c r="X35" i="4"/>
  <c r="Z35" i="4" s="1"/>
  <c r="P35" i="4"/>
  <c r="R35" i="4" s="1"/>
  <c r="X34" i="4"/>
  <c r="Z34" i="4" s="1"/>
  <c r="P34" i="4"/>
  <c r="R34" i="4" s="1"/>
  <c r="W32" i="4"/>
  <c r="V32" i="4"/>
  <c r="U32" i="4"/>
  <c r="T32" i="4"/>
  <c r="Q32" i="4"/>
  <c r="O32" i="4"/>
  <c r="N32" i="4"/>
  <c r="M32" i="4"/>
  <c r="L32" i="4"/>
  <c r="K32" i="4"/>
  <c r="J32" i="4"/>
  <c r="I32" i="4"/>
  <c r="H32" i="4"/>
  <c r="G32" i="4"/>
  <c r="F32" i="4"/>
  <c r="E32" i="4"/>
  <c r="D32" i="4"/>
  <c r="C32" i="4"/>
  <c r="X31" i="4"/>
  <c r="Z31" i="4" s="1"/>
  <c r="P31" i="4"/>
  <c r="R31" i="4" s="1"/>
  <c r="X30" i="4"/>
  <c r="Z30" i="4" s="1"/>
  <c r="P30" i="4"/>
  <c r="R30" i="4" s="1"/>
  <c r="X29" i="4"/>
  <c r="Z29" i="4" s="1"/>
  <c r="P29" i="4"/>
  <c r="R29" i="4" s="1"/>
  <c r="W27" i="4"/>
  <c r="V27" i="4"/>
  <c r="U27" i="4"/>
  <c r="T27" i="4"/>
  <c r="Q27" i="4"/>
  <c r="O27" i="4"/>
  <c r="N27" i="4"/>
  <c r="M27" i="4"/>
  <c r="L27" i="4"/>
  <c r="K27" i="4"/>
  <c r="J27" i="4"/>
  <c r="I27" i="4"/>
  <c r="H27" i="4"/>
  <c r="G27" i="4"/>
  <c r="F27" i="4"/>
  <c r="E27" i="4"/>
  <c r="D27" i="4"/>
  <c r="C27" i="4"/>
  <c r="X26" i="4"/>
  <c r="Z26" i="4" s="1"/>
  <c r="P26" i="4"/>
  <c r="R26" i="4" s="1"/>
  <c r="X25" i="4"/>
  <c r="Z25" i="4" s="1"/>
  <c r="P25" i="4"/>
  <c r="W23" i="4"/>
  <c r="X23" i="4" s="1"/>
  <c r="Z23" i="4" s="1"/>
  <c r="Q23" i="4"/>
  <c r="O23" i="4"/>
  <c r="N23" i="4"/>
  <c r="M23" i="4"/>
  <c r="L23" i="4"/>
  <c r="K23" i="4"/>
  <c r="J23" i="4"/>
  <c r="I23" i="4"/>
  <c r="H23" i="4"/>
  <c r="G23" i="4"/>
  <c r="F23" i="4"/>
  <c r="E23" i="4"/>
  <c r="D23" i="4"/>
  <c r="C23" i="4"/>
  <c r="X22" i="4"/>
  <c r="Z22" i="4" s="1"/>
  <c r="P22" i="4"/>
  <c r="R22" i="4" s="1"/>
  <c r="X21" i="4"/>
  <c r="Z21" i="4" s="1"/>
  <c r="P21" i="4"/>
  <c r="R21" i="4" s="1"/>
  <c r="X20" i="4"/>
  <c r="Z20" i="4" s="1"/>
  <c r="R20" i="4"/>
  <c r="P20" i="4"/>
  <c r="X19" i="4"/>
  <c r="Z19" i="4" s="1"/>
  <c r="P19" i="4"/>
  <c r="R19" i="4" s="1"/>
  <c r="W17" i="4"/>
  <c r="V17" i="4"/>
  <c r="U17" i="4"/>
  <c r="T17" i="4"/>
  <c r="Q17" i="4"/>
  <c r="O17" i="4"/>
  <c r="N17" i="4"/>
  <c r="M17" i="4"/>
  <c r="L17" i="4"/>
  <c r="K17" i="4"/>
  <c r="J17" i="4"/>
  <c r="I17" i="4"/>
  <c r="H17" i="4"/>
  <c r="G17" i="4"/>
  <c r="F17" i="4"/>
  <c r="E17" i="4"/>
  <c r="D17" i="4"/>
  <c r="C17" i="4"/>
  <c r="X16" i="4"/>
  <c r="Z16" i="4" s="1"/>
  <c r="P16" i="4"/>
  <c r="R16" i="4" s="1"/>
  <c r="Z15" i="4"/>
  <c r="X15" i="4"/>
  <c r="P15" i="4"/>
  <c r="R15" i="4" s="1"/>
  <c r="X14" i="4"/>
  <c r="Z14" i="4" s="1"/>
  <c r="P14" i="4"/>
  <c r="R14" i="4" s="1"/>
  <c r="X13" i="4"/>
  <c r="Z13" i="4" s="1"/>
  <c r="P13" i="4"/>
  <c r="R13" i="4" s="1"/>
  <c r="W11" i="4"/>
  <c r="V11" i="4"/>
  <c r="U11" i="4"/>
  <c r="T11" i="4"/>
  <c r="Q11" i="4"/>
  <c r="O11" i="4"/>
  <c r="N11" i="4"/>
  <c r="M11" i="4"/>
  <c r="L11" i="4"/>
  <c r="K11" i="4"/>
  <c r="J11" i="4"/>
  <c r="I11" i="4"/>
  <c r="H11" i="4"/>
  <c r="G11" i="4"/>
  <c r="F11" i="4"/>
  <c r="E11" i="4"/>
  <c r="D11" i="4"/>
  <c r="C11" i="4"/>
  <c r="X10" i="4"/>
  <c r="Z10" i="4" s="1"/>
  <c r="P10" i="4"/>
  <c r="R10" i="4" s="1"/>
  <c r="X9" i="4"/>
  <c r="Z9" i="4" s="1"/>
  <c r="P9" i="4"/>
  <c r="R9" i="4" s="1"/>
  <c r="X8" i="4"/>
  <c r="Z8" i="4" s="1"/>
  <c r="P8" i="4"/>
  <c r="R8" i="4" s="1"/>
  <c r="W6" i="4"/>
  <c r="V6" i="4"/>
  <c r="U6" i="4"/>
  <c r="T6" i="4"/>
  <c r="Q6" i="4"/>
  <c r="O6" i="4"/>
  <c r="N6" i="4"/>
  <c r="M6" i="4"/>
  <c r="L6" i="4"/>
  <c r="K6" i="4"/>
  <c r="J6" i="4"/>
  <c r="I6" i="4"/>
  <c r="H6" i="4"/>
  <c r="G6" i="4"/>
  <c r="F6" i="4"/>
  <c r="E6" i="4"/>
  <c r="D6" i="4"/>
  <c r="C6" i="4"/>
  <c r="X5" i="4"/>
  <c r="Z5" i="4" s="1"/>
  <c r="P5" i="4"/>
  <c r="R5" i="4" s="1"/>
  <c r="X4" i="4"/>
  <c r="Z4" i="4" s="1"/>
  <c r="P4" i="4"/>
  <c r="R4" i="4" s="1"/>
  <c r="X3" i="4"/>
  <c r="Z3" i="4" s="1"/>
  <c r="P3" i="4"/>
  <c r="R3" i="4" s="1"/>
  <c r="P79" i="7"/>
  <c r="O79" i="7"/>
  <c r="N79" i="7"/>
  <c r="M79" i="7"/>
  <c r="L79" i="7"/>
  <c r="F79" i="7"/>
  <c r="D79" i="7"/>
  <c r="C79" i="7"/>
  <c r="Q78" i="7"/>
  <c r="I78" i="7"/>
  <c r="Q77" i="7"/>
  <c r="I77" i="7"/>
  <c r="P75" i="7"/>
  <c r="O75" i="7"/>
  <c r="N75" i="7"/>
  <c r="M75" i="7"/>
  <c r="L75" i="7"/>
  <c r="H75" i="7"/>
  <c r="G75" i="7"/>
  <c r="F75" i="7"/>
  <c r="E75" i="7"/>
  <c r="D75" i="7"/>
  <c r="C75" i="7"/>
  <c r="Q74" i="7"/>
  <c r="I74" i="7"/>
  <c r="Q73" i="7"/>
  <c r="I73" i="7"/>
  <c r="P71" i="7"/>
  <c r="O71" i="7"/>
  <c r="N71" i="7"/>
  <c r="M71" i="7"/>
  <c r="Q71" i="7" s="1"/>
  <c r="L71" i="7"/>
  <c r="H71" i="7"/>
  <c r="G71" i="7"/>
  <c r="F71" i="7"/>
  <c r="E71" i="7"/>
  <c r="D71" i="7"/>
  <c r="C71" i="7"/>
  <c r="Q70" i="7"/>
  <c r="I70" i="7"/>
  <c r="Q69" i="7"/>
  <c r="I69" i="7"/>
  <c r="Q68" i="7"/>
  <c r="I68" i="7"/>
  <c r="Q67" i="7"/>
  <c r="I67" i="7"/>
  <c r="Q66" i="7"/>
  <c r="I66" i="7"/>
  <c r="P64" i="7"/>
  <c r="O64" i="7"/>
  <c r="N64" i="7"/>
  <c r="M64" i="7"/>
  <c r="L64" i="7"/>
  <c r="H64" i="7"/>
  <c r="G64" i="7"/>
  <c r="F64" i="7"/>
  <c r="E64" i="7"/>
  <c r="D64" i="7"/>
  <c r="C64" i="7"/>
  <c r="I64" i="7" s="1"/>
  <c r="Q63" i="7"/>
  <c r="I63" i="7"/>
  <c r="Q62" i="7"/>
  <c r="I62" i="7"/>
  <c r="P60" i="7"/>
  <c r="O60" i="7"/>
  <c r="N60" i="7"/>
  <c r="M60" i="7"/>
  <c r="L60" i="7"/>
  <c r="H60" i="7"/>
  <c r="G60" i="7"/>
  <c r="F60" i="7"/>
  <c r="E60" i="7"/>
  <c r="D60" i="7"/>
  <c r="C60" i="7"/>
  <c r="Q59" i="7"/>
  <c r="I59" i="7"/>
  <c r="Q58" i="7"/>
  <c r="I58" i="7"/>
  <c r="P56" i="7"/>
  <c r="O56" i="7"/>
  <c r="N56" i="7"/>
  <c r="M56" i="7"/>
  <c r="L56" i="7"/>
  <c r="H56" i="7"/>
  <c r="G56" i="7"/>
  <c r="F56" i="7"/>
  <c r="E56" i="7"/>
  <c r="D56" i="7"/>
  <c r="C56" i="7"/>
  <c r="Q55" i="7"/>
  <c r="I55" i="7"/>
  <c r="Q54" i="7"/>
  <c r="I54" i="7"/>
  <c r="Q53" i="7"/>
  <c r="I53" i="7"/>
  <c r="Q52" i="7"/>
  <c r="I52" i="7"/>
  <c r="P50" i="7"/>
  <c r="O50" i="7"/>
  <c r="N50" i="7"/>
  <c r="M50" i="7"/>
  <c r="L50" i="7"/>
  <c r="H50" i="7"/>
  <c r="G50" i="7"/>
  <c r="F50" i="7"/>
  <c r="E50" i="7"/>
  <c r="D50" i="7"/>
  <c r="C50" i="7"/>
  <c r="Q49" i="7"/>
  <c r="I49" i="7"/>
  <c r="Q48" i="7"/>
  <c r="I48" i="7"/>
  <c r="P46" i="7"/>
  <c r="O46" i="7"/>
  <c r="N46" i="7"/>
  <c r="M46" i="7"/>
  <c r="L46" i="7"/>
  <c r="H46" i="7"/>
  <c r="G46" i="7"/>
  <c r="F46" i="7"/>
  <c r="E46" i="7"/>
  <c r="D46" i="7"/>
  <c r="C46" i="7"/>
  <c r="Q45" i="7"/>
  <c r="I45" i="7"/>
  <c r="Q44" i="7"/>
  <c r="I44" i="7"/>
  <c r="P42" i="7"/>
  <c r="O42" i="7"/>
  <c r="N42" i="7"/>
  <c r="M42" i="7"/>
  <c r="L42" i="7"/>
  <c r="H42" i="7"/>
  <c r="G42" i="7"/>
  <c r="F42" i="7"/>
  <c r="E42" i="7"/>
  <c r="D42" i="7"/>
  <c r="C42" i="7"/>
  <c r="Q41" i="7"/>
  <c r="I41" i="7"/>
  <c r="Q40" i="7"/>
  <c r="I40" i="7"/>
  <c r="Q39" i="7"/>
  <c r="I39" i="7"/>
  <c r="Q38" i="7"/>
  <c r="I38" i="7"/>
  <c r="P36" i="7"/>
  <c r="O36" i="7"/>
  <c r="M36" i="7"/>
  <c r="L36" i="7"/>
  <c r="H36" i="7"/>
  <c r="G36" i="7"/>
  <c r="F36" i="7"/>
  <c r="E36" i="7"/>
  <c r="D36" i="7"/>
  <c r="C36" i="7"/>
  <c r="Q35" i="7"/>
  <c r="I35" i="7"/>
  <c r="Q34" i="7"/>
  <c r="I34" i="7"/>
  <c r="P32" i="7"/>
  <c r="O32" i="7"/>
  <c r="N32" i="7"/>
  <c r="M32" i="7"/>
  <c r="L32" i="7"/>
  <c r="H32" i="7"/>
  <c r="G32" i="7"/>
  <c r="F32" i="7"/>
  <c r="E32" i="7"/>
  <c r="D32" i="7"/>
  <c r="C32" i="7"/>
  <c r="Q31" i="7"/>
  <c r="I31" i="7"/>
  <c r="Q30" i="7"/>
  <c r="I30" i="7"/>
  <c r="Q29" i="7"/>
  <c r="I29" i="7"/>
  <c r="P27" i="7"/>
  <c r="O27" i="7"/>
  <c r="N27" i="7"/>
  <c r="M27" i="7"/>
  <c r="L27" i="7"/>
  <c r="H27" i="7"/>
  <c r="G27" i="7"/>
  <c r="F27" i="7"/>
  <c r="E27" i="7"/>
  <c r="D27" i="7"/>
  <c r="I27" i="7" s="1"/>
  <c r="C27" i="7"/>
  <c r="Q26" i="7"/>
  <c r="I26" i="7"/>
  <c r="Q25" i="7"/>
  <c r="I25" i="7"/>
  <c r="P23" i="7"/>
  <c r="Q23" i="7" s="1"/>
  <c r="L23" i="7"/>
  <c r="H23" i="7"/>
  <c r="G23" i="7"/>
  <c r="F23" i="7"/>
  <c r="E23" i="7"/>
  <c r="D23" i="7"/>
  <c r="C23" i="7"/>
  <c r="Q22" i="7"/>
  <c r="I22" i="7"/>
  <c r="Q21" i="7"/>
  <c r="I21" i="7"/>
  <c r="Q20" i="7"/>
  <c r="I20" i="7"/>
  <c r="Q19" i="7"/>
  <c r="I19" i="7"/>
  <c r="P17" i="7"/>
  <c r="O17" i="7"/>
  <c r="N17" i="7"/>
  <c r="M17" i="7"/>
  <c r="L17" i="7"/>
  <c r="H17" i="7"/>
  <c r="G17" i="7"/>
  <c r="F17" i="7"/>
  <c r="E17" i="7"/>
  <c r="D17" i="7"/>
  <c r="C17" i="7"/>
  <c r="Q16" i="7"/>
  <c r="I16" i="7"/>
  <c r="Q15" i="7"/>
  <c r="I15" i="7"/>
  <c r="Q14" i="7"/>
  <c r="I14" i="7"/>
  <c r="Q13" i="7"/>
  <c r="I13" i="7"/>
  <c r="P11" i="7"/>
  <c r="O11" i="7"/>
  <c r="N11" i="7"/>
  <c r="M11" i="7"/>
  <c r="Q11" i="7" s="1"/>
  <c r="L11" i="7"/>
  <c r="H11" i="7"/>
  <c r="G11" i="7"/>
  <c r="F11" i="7"/>
  <c r="E11" i="7"/>
  <c r="D11" i="7"/>
  <c r="C11" i="7"/>
  <c r="Q10" i="7"/>
  <c r="I10" i="7"/>
  <c r="Q9" i="7"/>
  <c r="I9" i="7"/>
  <c r="Q8" i="7"/>
  <c r="I8" i="7"/>
  <c r="P6" i="7"/>
  <c r="O6" i="7"/>
  <c r="N6" i="7"/>
  <c r="M6" i="7"/>
  <c r="L6" i="7"/>
  <c r="H6" i="7"/>
  <c r="G6" i="7"/>
  <c r="F6" i="7"/>
  <c r="E6" i="7"/>
  <c r="D6" i="7"/>
  <c r="C6" i="7"/>
  <c r="I6" i="7" s="1"/>
  <c r="Q5" i="7"/>
  <c r="I5" i="7"/>
  <c r="Q4" i="7"/>
  <c r="I4" i="7"/>
  <c r="Q3" i="7"/>
  <c r="I3" i="7"/>
  <c r="W79" i="3"/>
  <c r="V79" i="3"/>
  <c r="U79" i="3"/>
  <c r="T79" i="3"/>
  <c r="O79" i="3"/>
  <c r="D79" i="3"/>
  <c r="X78" i="3"/>
  <c r="Z78" i="3" s="1"/>
  <c r="Q78" i="3"/>
  <c r="P78" i="3"/>
  <c r="X77" i="3"/>
  <c r="Z77" i="3" s="1"/>
  <c r="Q77" i="3"/>
  <c r="P77" i="3"/>
  <c r="R77" i="3" s="1"/>
  <c r="W75" i="3"/>
  <c r="V75" i="3"/>
  <c r="U75" i="3"/>
  <c r="T75" i="3"/>
  <c r="X75" i="3" s="1"/>
  <c r="Z75" i="3" s="1"/>
  <c r="N75" i="3"/>
  <c r="M75" i="3"/>
  <c r="L75" i="3"/>
  <c r="K75" i="3"/>
  <c r="J75" i="3"/>
  <c r="I75" i="3"/>
  <c r="H75" i="3"/>
  <c r="G75" i="3"/>
  <c r="F75" i="3"/>
  <c r="E75" i="3"/>
  <c r="C75" i="3"/>
  <c r="Z74" i="3"/>
  <c r="X74" i="3"/>
  <c r="Q74" i="3"/>
  <c r="O74" i="3"/>
  <c r="D74" i="3"/>
  <c r="D75" i="3" s="1"/>
  <c r="X73" i="3"/>
  <c r="Z73" i="3" s="1"/>
  <c r="Q73" i="3"/>
  <c r="O73" i="3"/>
  <c r="D73" i="3"/>
  <c r="P73" i="3" s="1"/>
  <c r="W71" i="3"/>
  <c r="V71" i="3"/>
  <c r="U71" i="3"/>
  <c r="T71" i="3"/>
  <c r="O71" i="3"/>
  <c r="P71" i="3" s="1"/>
  <c r="D71" i="3"/>
  <c r="X70" i="3"/>
  <c r="Z70" i="3" s="1"/>
  <c r="Q70" i="3"/>
  <c r="P70" i="3"/>
  <c r="X69" i="3"/>
  <c r="Z69" i="3" s="1"/>
  <c r="Q69" i="3"/>
  <c r="P69" i="3"/>
  <c r="X68" i="3"/>
  <c r="Z68" i="3" s="1"/>
  <c r="Q68" i="3"/>
  <c r="P68" i="3"/>
  <c r="X67" i="3"/>
  <c r="Z67" i="3" s="1"/>
  <c r="Q67" i="3"/>
  <c r="R67" i="3" s="1"/>
  <c r="P67" i="3"/>
  <c r="X66" i="3"/>
  <c r="Z66" i="3" s="1"/>
  <c r="Q66" i="3"/>
  <c r="R66" i="3" s="1"/>
  <c r="P66" i="3"/>
  <c r="W64" i="3"/>
  <c r="V64" i="3"/>
  <c r="U64" i="3"/>
  <c r="T64" i="3"/>
  <c r="O64" i="3"/>
  <c r="P64" i="3" s="1"/>
  <c r="D64" i="3"/>
  <c r="X63" i="3"/>
  <c r="Z63" i="3" s="1"/>
  <c r="Q63" i="3"/>
  <c r="P63" i="3"/>
  <c r="X62" i="3"/>
  <c r="Z62" i="3" s="1"/>
  <c r="Q62" i="3"/>
  <c r="Q64" i="3" s="1"/>
  <c r="P62" i="3"/>
  <c r="W60" i="3"/>
  <c r="V60" i="3"/>
  <c r="U60" i="3"/>
  <c r="T60" i="3"/>
  <c r="O60" i="3"/>
  <c r="D60" i="3"/>
  <c r="C60" i="3"/>
  <c r="X59" i="3"/>
  <c r="Z59" i="3" s="1"/>
  <c r="Q59" i="3"/>
  <c r="P59" i="3"/>
  <c r="X58" i="3"/>
  <c r="Z58" i="3" s="1"/>
  <c r="Q58" i="3"/>
  <c r="P58" i="3"/>
  <c r="R58" i="3" s="1"/>
  <c r="W56" i="3"/>
  <c r="V56" i="3"/>
  <c r="U56" i="3"/>
  <c r="T56" i="3"/>
  <c r="O56" i="3"/>
  <c r="D56" i="3"/>
  <c r="P56" i="3" s="1"/>
  <c r="X55" i="3"/>
  <c r="Z55" i="3" s="1"/>
  <c r="Q55" i="3"/>
  <c r="R55" i="3" s="1"/>
  <c r="P55" i="3"/>
  <c r="X54" i="3"/>
  <c r="Z54" i="3" s="1"/>
  <c r="Q54" i="3"/>
  <c r="P54" i="3"/>
  <c r="X53" i="3"/>
  <c r="Z53" i="3" s="1"/>
  <c r="Q53" i="3"/>
  <c r="P53" i="3"/>
  <c r="X52" i="3"/>
  <c r="Z52" i="3" s="1"/>
  <c r="Q52" i="3"/>
  <c r="P52" i="3"/>
  <c r="W50" i="3"/>
  <c r="V50" i="3"/>
  <c r="U50" i="3"/>
  <c r="T50" i="3"/>
  <c r="O50" i="3"/>
  <c r="D50" i="3"/>
  <c r="P50" i="3" s="1"/>
  <c r="X49" i="3"/>
  <c r="Z49" i="3" s="1"/>
  <c r="Q49" i="3"/>
  <c r="P49" i="3"/>
  <c r="X48" i="3"/>
  <c r="Z48" i="3" s="1"/>
  <c r="Q48" i="3"/>
  <c r="P48" i="3"/>
  <c r="W46" i="3"/>
  <c r="V46" i="3"/>
  <c r="U46" i="3"/>
  <c r="T46" i="3"/>
  <c r="N46" i="3"/>
  <c r="N82" i="3" s="1"/>
  <c r="M46" i="3"/>
  <c r="M82" i="3" s="1"/>
  <c r="L46" i="3"/>
  <c r="K46" i="3"/>
  <c r="J46" i="3"/>
  <c r="J82" i="3" s="1"/>
  <c r="I46" i="3"/>
  <c r="I82" i="3" s="1"/>
  <c r="H46" i="3"/>
  <c r="H82" i="3" s="1"/>
  <c r="G46" i="3"/>
  <c r="F46" i="3"/>
  <c r="F82" i="3" s="1"/>
  <c r="E46" i="3"/>
  <c r="E82" i="3" s="1"/>
  <c r="D46" i="3"/>
  <c r="X45" i="3"/>
  <c r="Z45" i="3" s="1"/>
  <c r="Q45" i="3"/>
  <c r="O45" i="3"/>
  <c r="P45" i="3" s="1"/>
  <c r="X44" i="3"/>
  <c r="Z44" i="3" s="1"/>
  <c r="Q44" i="3"/>
  <c r="O44" i="3"/>
  <c r="C44" i="3"/>
  <c r="P44" i="3" s="1"/>
  <c r="W42" i="3"/>
  <c r="X42" i="3" s="1"/>
  <c r="Z42" i="3" s="1"/>
  <c r="O42" i="3"/>
  <c r="D42" i="3"/>
  <c r="Z41" i="3"/>
  <c r="X41" i="3"/>
  <c r="Q41" i="3"/>
  <c r="P41" i="3"/>
  <c r="X40" i="3"/>
  <c r="Z40" i="3" s="1"/>
  <c r="Q40" i="3"/>
  <c r="P40" i="3"/>
  <c r="X39" i="3"/>
  <c r="Z39" i="3" s="1"/>
  <c r="Q39" i="3"/>
  <c r="P39" i="3"/>
  <c r="X38" i="3"/>
  <c r="Z38" i="3" s="1"/>
  <c r="Q38" i="3"/>
  <c r="P38" i="3"/>
  <c r="W36" i="3"/>
  <c r="V36" i="3"/>
  <c r="U36" i="3"/>
  <c r="T36" i="3"/>
  <c r="O36" i="3"/>
  <c r="D36" i="3"/>
  <c r="X35" i="3"/>
  <c r="Z35" i="3" s="1"/>
  <c r="Q35" i="3"/>
  <c r="P35" i="3"/>
  <c r="X34" i="3"/>
  <c r="Z34" i="3" s="1"/>
  <c r="Q34" i="3"/>
  <c r="P34" i="3"/>
  <c r="R34" i="3" s="1"/>
  <c r="U32" i="3"/>
  <c r="X32" i="3" s="1"/>
  <c r="Z32" i="3" s="1"/>
  <c r="O32" i="3"/>
  <c r="P32" i="3" s="1"/>
  <c r="D32" i="3"/>
  <c r="X31" i="3"/>
  <c r="Z31" i="3" s="1"/>
  <c r="Q31" i="3"/>
  <c r="P31" i="3"/>
  <c r="X30" i="3"/>
  <c r="Z30" i="3" s="1"/>
  <c r="Q30" i="3"/>
  <c r="P30" i="3"/>
  <c r="X29" i="3"/>
  <c r="Z29" i="3" s="1"/>
  <c r="Q29" i="3"/>
  <c r="P29" i="3"/>
  <c r="W27" i="3"/>
  <c r="V27" i="3"/>
  <c r="U27" i="3"/>
  <c r="T27" i="3"/>
  <c r="O27" i="3"/>
  <c r="C27" i="3"/>
  <c r="X26" i="3"/>
  <c r="Z26" i="3" s="1"/>
  <c r="Q26" i="3"/>
  <c r="P26" i="3"/>
  <c r="X25" i="3"/>
  <c r="Z25" i="3" s="1"/>
  <c r="Q25" i="3"/>
  <c r="P25" i="3"/>
  <c r="X23" i="3"/>
  <c r="Z23" i="3" s="1"/>
  <c r="O23" i="3"/>
  <c r="D23" i="3"/>
  <c r="X22" i="3"/>
  <c r="Z22" i="3" s="1"/>
  <c r="Q22" i="3"/>
  <c r="P22" i="3"/>
  <c r="X21" i="3"/>
  <c r="Z21" i="3" s="1"/>
  <c r="Q21" i="3"/>
  <c r="P21" i="3"/>
  <c r="X20" i="3"/>
  <c r="Z20" i="3" s="1"/>
  <c r="Q20" i="3"/>
  <c r="P20" i="3"/>
  <c r="R20" i="3" s="1"/>
  <c r="X19" i="3"/>
  <c r="Z19" i="3" s="1"/>
  <c r="Q19" i="3"/>
  <c r="P19" i="3"/>
  <c r="W17" i="3"/>
  <c r="V17" i="3"/>
  <c r="U17" i="3"/>
  <c r="T17" i="3"/>
  <c r="O17" i="3"/>
  <c r="D17" i="3"/>
  <c r="X16" i="3"/>
  <c r="Z16" i="3" s="1"/>
  <c r="Q16" i="3"/>
  <c r="P16" i="3"/>
  <c r="X15" i="3"/>
  <c r="Z15" i="3" s="1"/>
  <c r="Q15" i="3"/>
  <c r="R15" i="3" s="1"/>
  <c r="P15" i="3"/>
  <c r="X14" i="3"/>
  <c r="Z14" i="3" s="1"/>
  <c r="Q14" i="3"/>
  <c r="P14" i="3"/>
  <c r="X13" i="3"/>
  <c r="Z13" i="3" s="1"/>
  <c r="Q13" i="3"/>
  <c r="P13" i="3"/>
  <c r="W11" i="3"/>
  <c r="V11" i="3"/>
  <c r="U11" i="3"/>
  <c r="T11" i="3"/>
  <c r="O11" i="3"/>
  <c r="L11" i="3"/>
  <c r="D11" i="3"/>
  <c r="C11" i="3"/>
  <c r="Z10" i="3"/>
  <c r="X10" i="3"/>
  <c r="R10" i="3"/>
  <c r="Q10" i="3"/>
  <c r="P10" i="3"/>
  <c r="X9" i="3"/>
  <c r="Z9" i="3" s="1"/>
  <c r="Q9" i="3"/>
  <c r="R9" i="3" s="1"/>
  <c r="P9" i="3"/>
  <c r="Z8" i="3"/>
  <c r="X8" i="3"/>
  <c r="Q8" i="3"/>
  <c r="Q11" i="3" s="1"/>
  <c r="P8" i="3"/>
  <c r="W6" i="3"/>
  <c r="V6" i="3"/>
  <c r="U6" i="3"/>
  <c r="T6" i="3"/>
  <c r="O6" i="3"/>
  <c r="L6" i="3"/>
  <c r="D6" i="3"/>
  <c r="D82" i="3" s="1"/>
  <c r="X5" i="3"/>
  <c r="Z5" i="3" s="1"/>
  <c r="Q5" i="3"/>
  <c r="R5" i="3" s="1"/>
  <c r="P5" i="3"/>
  <c r="Z4" i="3"/>
  <c r="X4" i="3"/>
  <c r="Q4" i="3"/>
  <c r="P4" i="3"/>
  <c r="X3" i="3"/>
  <c r="Z3" i="3" s="1"/>
  <c r="Q3" i="3"/>
  <c r="P3" i="3"/>
  <c r="P79" i="2"/>
  <c r="O79" i="2"/>
  <c r="N79" i="2"/>
  <c r="M79" i="2"/>
  <c r="L79" i="2"/>
  <c r="F79" i="2"/>
  <c r="Q78" i="2"/>
  <c r="F78" i="2"/>
  <c r="D78" i="2"/>
  <c r="C78" i="2"/>
  <c r="I78" i="2" s="1"/>
  <c r="Q77" i="2"/>
  <c r="D77" i="2"/>
  <c r="D79" i="2" s="1"/>
  <c r="C77" i="2"/>
  <c r="P75" i="2"/>
  <c r="O75" i="2"/>
  <c r="N75" i="2"/>
  <c r="M75" i="2"/>
  <c r="L75" i="2"/>
  <c r="H75" i="2"/>
  <c r="G75" i="2"/>
  <c r="F75" i="2"/>
  <c r="E75" i="2"/>
  <c r="Q74" i="2"/>
  <c r="D74" i="2"/>
  <c r="D75" i="2" s="1"/>
  <c r="C74" i="2"/>
  <c r="C75" i="2" s="1"/>
  <c r="Q73" i="2"/>
  <c r="I73" i="2"/>
  <c r="P71" i="2"/>
  <c r="O71" i="2"/>
  <c r="N71" i="2"/>
  <c r="M71" i="2"/>
  <c r="Q71" i="2" s="1"/>
  <c r="L71" i="2"/>
  <c r="H71" i="2"/>
  <c r="G71" i="2"/>
  <c r="F71" i="2"/>
  <c r="E71" i="2"/>
  <c r="Q70" i="2"/>
  <c r="D70" i="2"/>
  <c r="C70" i="2"/>
  <c r="Q69" i="2"/>
  <c r="D69" i="2"/>
  <c r="D71" i="2" s="1"/>
  <c r="C69" i="2"/>
  <c r="Q68" i="2"/>
  <c r="I68" i="2"/>
  <c r="Q67" i="2"/>
  <c r="I67" i="2"/>
  <c r="Q66" i="2"/>
  <c r="I66" i="2"/>
  <c r="Q64" i="2"/>
  <c r="P64" i="2"/>
  <c r="O64" i="2"/>
  <c r="N64" i="2"/>
  <c r="M64" i="2"/>
  <c r="L64" i="2"/>
  <c r="H64" i="2"/>
  <c r="G64" i="2"/>
  <c r="F64" i="2"/>
  <c r="E64" i="2"/>
  <c r="D63" i="2"/>
  <c r="D64" i="2" s="1"/>
  <c r="C63" i="2"/>
  <c r="C64" i="2" s="1"/>
  <c r="I62" i="2"/>
  <c r="P60" i="2"/>
  <c r="O60" i="2"/>
  <c r="N60" i="2"/>
  <c r="M60" i="2"/>
  <c r="L60" i="2"/>
  <c r="H60" i="2"/>
  <c r="G60" i="2"/>
  <c r="E60" i="2"/>
  <c r="C60" i="2"/>
  <c r="Q59" i="2"/>
  <c r="D59" i="2"/>
  <c r="C59" i="2"/>
  <c r="Q58" i="2"/>
  <c r="F58" i="2"/>
  <c r="F60" i="2" s="1"/>
  <c r="D58" i="2"/>
  <c r="D60" i="2" s="1"/>
  <c r="C58" i="2"/>
  <c r="P56" i="2"/>
  <c r="O56" i="2"/>
  <c r="N56" i="2"/>
  <c r="M56" i="2"/>
  <c r="L56" i="2"/>
  <c r="Q56" i="2" s="1"/>
  <c r="H56" i="2"/>
  <c r="G56" i="2"/>
  <c r="F56" i="2"/>
  <c r="E56" i="2"/>
  <c r="Q55" i="2"/>
  <c r="D55" i="2"/>
  <c r="D56" i="2" s="1"/>
  <c r="C55" i="2"/>
  <c r="Q54" i="2"/>
  <c r="I54" i="2"/>
  <c r="Q53" i="2"/>
  <c r="I53" i="2"/>
  <c r="Q52" i="2"/>
  <c r="I52" i="2"/>
  <c r="P50" i="2"/>
  <c r="O50" i="2"/>
  <c r="N50" i="2"/>
  <c r="M50" i="2"/>
  <c r="L50" i="2"/>
  <c r="H50" i="2"/>
  <c r="G50" i="2"/>
  <c r="F50" i="2"/>
  <c r="E50" i="2"/>
  <c r="Q49" i="2"/>
  <c r="D49" i="2"/>
  <c r="C49" i="2"/>
  <c r="Q48" i="2"/>
  <c r="D48" i="2"/>
  <c r="D50" i="2" s="1"/>
  <c r="C48" i="2"/>
  <c r="P46" i="2"/>
  <c r="O46" i="2"/>
  <c r="N46" i="2"/>
  <c r="M46" i="2"/>
  <c r="L46" i="2"/>
  <c r="H46" i="2"/>
  <c r="F46" i="2"/>
  <c r="E46" i="2"/>
  <c r="Q45" i="2"/>
  <c r="I45" i="2"/>
  <c r="Q44" i="2"/>
  <c r="G44" i="2"/>
  <c r="G46" i="2" s="1"/>
  <c r="D44" i="2"/>
  <c r="D46" i="2" s="1"/>
  <c r="C44" i="2"/>
  <c r="C46" i="2" s="1"/>
  <c r="Q42" i="2"/>
  <c r="M42" i="2"/>
  <c r="H42" i="2"/>
  <c r="G42" i="2"/>
  <c r="F42" i="2"/>
  <c r="E42" i="2"/>
  <c r="Q41" i="2"/>
  <c r="D41" i="2"/>
  <c r="C41" i="2"/>
  <c r="Q40" i="2"/>
  <c r="D40" i="2"/>
  <c r="I40" i="2" s="1"/>
  <c r="C40" i="2"/>
  <c r="Q39" i="2"/>
  <c r="D39" i="2"/>
  <c r="C39" i="2"/>
  <c r="D38" i="2"/>
  <c r="C38" i="2"/>
  <c r="P36" i="2"/>
  <c r="O36" i="2"/>
  <c r="N36" i="2"/>
  <c r="M36" i="2"/>
  <c r="L36" i="2"/>
  <c r="Q36" i="2" s="1"/>
  <c r="H36" i="2"/>
  <c r="G36" i="2"/>
  <c r="F36" i="2"/>
  <c r="E36" i="2"/>
  <c r="Q35" i="2"/>
  <c r="I35" i="2"/>
  <c r="Q34" i="2"/>
  <c r="D34" i="2"/>
  <c r="D36" i="2" s="1"/>
  <c r="C34" i="2"/>
  <c r="C36" i="2" s="1"/>
  <c r="P32" i="2"/>
  <c r="O32" i="2"/>
  <c r="N32" i="2"/>
  <c r="M32" i="2"/>
  <c r="L32" i="2"/>
  <c r="H32" i="2"/>
  <c r="G32" i="2"/>
  <c r="F32" i="2"/>
  <c r="E32" i="2"/>
  <c r="Q31" i="2"/>
  <c r="D31" i="2"/>
  <c r="C31" i="2"/>
  <c r="Q30" i="2"/>
  <c r="I30" i="2"/>
  <c r="Q29" i="2"/>
  <c r="D29" i="2"/>
  <c r="C29" i="2"/>
  <c r="P27" i="2"/>
  <c r="O27" i="2"/>
  <c r="N27" i="2"/>
  <c r="M27" i="2"/>
  <c r="L27" i="2"/>
  <c r="E27" i="2"/>
  <c r="Q26" i="2"/>
  <c r="H26" i="2"/>
  <c r="H27" i="2" s="1"/>
  <c r="G26" i="2"/>
  <c r="G27" i="2" s="1"/>
  <c r="F26" i="2"/>
  <c r="F27" i="2" s="1"/>
  <c r="D26" i="2"/>
  <c r="C26" i="2"/>
  <c r="Q25" i="2"/>
  <c r="D25" i="2"/>
  <c r="I25" i="2" s="1"/>
  <c r="C25" i="2"/>
  <c r="P23" i="2"/>
  <c r="N23" i="2"/>
  <c r="M23" i="2"/>
  <c r="L23" i="2"/>
  <c r="H23" i="2"/>
  <c r="G23" i="2"/>
  <c r="F23" i="2"/>
  <c r="E23" i="2"/>
  <c r="Q22" i="2"/>
  <c r="D22" i="2"/>
  <c r="C22" i="2"/>
  <c r="Q21" i="2"/>
  <c r="D21" i="2"/>
  <c r="C21" i="2"/>
  <c r="I21" i="2" s="1"/>
  <c r="Q20" i="2"/>
  <c r="I20" i="2"/>
  <c r="Q19" i="2"/>
  <c r="I19" i="2"/>
  <c r="P17" i="2"/>
  <c r="O17" i="2"/>
  <c r="N17" i="2"/>
  <c r="M17" i="2"/>
  <c r="L17" i="2"/>
  <c r="H17" i="2"/>
  <c r="G17" i="2"/>
  <c r="F17" i="2"/>
  <c r="E17" i="2"/>
  <c r="Q16" i="2"/>
  <c r="I16" i="2"/>
  <c r="Q15" i="2"/>
  <c r="D15" i="2"/>
  <c r="C15" i="2"/>
  <c r="Q14" i="2"/>
  <c r="D14" i="2"/>
  <c r="C14" i="2"/>
  <c r="I14" i="2" s="1"/>
  <c r="Q13" i="2"/>
  <c r="D13" i="2"/>
  <c r="C13" i="2"/>
  <c r="P11" i="2"/>
  <c r="O11" i="2"/>
  <c r="N11" i="2"/>
  <c r="M11" i="2"/>
  <c r="L11" i="2"/>
  <c r="H11" i="2"/>
  <c r="G11" i="2"/>
  <c r="E11" i="2"/>
  <c r="Q10" i="2"/>
  <c r="F10" i="2"/>
  <c r="D10" i="2"/>
  <c r="C10" i="2"/>
  <c r="I10" i="2" s="1"/>
  <c r="Q9" i="2"/>
  <c r="F9" i="2"/>
  <c r="D9" i="2"/>
  <c r="C9" i="2"/>
  <c r="Q8" i="2"/>
  <c r="F8" i="2"/>
  <c r="F11" i="2" s="1"/>
  <c r="D8" i="2"/>
  <c r="D11" i="2" s="1"/>
  <c r="C8" i="2"/>
  <c r="C11" i="2" s="1"/>
  <c r="P6" i="2"/>
  <c r="O6" i="2"/>
  <c r="N6" i="2"/>
  <c r="M6" i="2"/>
  <c r="L6" i="2"/>
  <c r="H6" i="2"/>
  <c r="G6" i="2"/>
  <c r="F6" i="2"/>
  <c r="E6" i="2"/>
  <c r="Q5" i="2"/>
  <c r="I5" i="2"/>
  <c r="Q4" i="2"/>
  <c r="I4" i="2"/>
  <c r="Q3" i="2"/>
  <c r="D3" i="2"/>
  <c r="D6" i="2" s="1"/>
  <c r="C3" i="2"/>
  <c r="I3" i="2" s="1"/>
  <c r="R64" i="1" l="1"/>
  <c r="R71" i="1"/>
  <c r="R17" i="1"/>
  <c r="O79" i="5"/>
  <c r="Z71" i="5"/>
  <c r="Y6" i="5"/>
  <c r="R50" i="1"/>
  <c r="R79" i="1"/>
  <c r="K79" i="5"/>
  <c r="X71" i="5"/>
  <c r="Z75" i="5"/>
  <c r="Y56" i="5"/>
  <c r="X56" i="5"/>
  <c r="X64" i="5"/>
  <c r="Z17" i="5"/>
  <c r="Z11" i="5"/>
  <c r="X79" i="5"/>
  <c r="Y11" i="5"/>
  <c r="Z60" i="5"/>
  <c r="K75" i="5"/>
  <c r="Q23" i="1"/>
  <c r="S23" i="1" s="1"/>
  <c r="O64" i="5"/>
  <c r="L27" i="5"/>
  <c r="K36" i="5"/>
  <c r="N32" i="5"/>
  <c r="O75" i="8"/>
  <c r="N46" i="8"/>
  <c r="I42" i="1"/>
  <c r="Z42" i="8"/>
  <c r="L6" i="8"/>
  <c r="L42" i="8"/>
  <c r="I71" i="1"/>
  <c r="L56" i="8"/>
  <c r="Z64" i="8"/>
  <c r="O6" i="8"/>
  <c r="K17" i="8"/>
  <c r="N27" i="8"/>
  <c r="L36" i="8"/>
  <c r="N42" i="8"/>
  <c r="O42" i="8"/>
  <c r="M56" i="8"/>
  <c r="X60" i="8"/>
  <c r="Y60" i="8"/>
  <c r="L64" i="8"/>
  <c r="M75" i="8"/>
  <c r="N75" i="8"/>
  <c r="Z6" i="8"/>
  <c r="L17" i="8"/>
  <c r="O46" i="8"/>
  <c r="N56" i="8"/>
  <c r="K56" i="8"/>
  <c r="Y79" i="8"/>
  <c r="I60" i="1"/>
  <c r="I79" i="1"/>
  <c r="Z32" i="8"/>
  <c r="X64" i="8"/>
  <c r="Z75" i="8"/>
  <c r="X75" i="8"/>
  <c r="Z79" i="8"/>
  <c r="I75" i="1"/>
  <c r="I17" i="1"/>
  <c r="I32" i="1"/>
  <c r="I36" i="1"/>
  <c r="X17" i="8"/>
  <c r="Z17" i="8"/>
  <c r="Y27" i="8"/>
  <c r="X32" i="8"/>
  <c r="Y36" i="8"/>
  <c r="X50" i="8"/>
  <c r="I50" i="1"/>
  <c r="Y50" i="8"/>
  <c r="X36" i="8"/>
  <c r="Y42" i="8"/>
  <c r="Y56" i="8"/>
  <c r="Y71" i="8"/>
  <c r="AL6" i="6"/>
  <c r="AI6" i="6"/>
  <c r="AP6" i="6"/>
  <c r="AS6" i="6"/>
  <c r="AJ6" i="6"/>
  <c r="AQ6" i="6"/>
  <c r="M6" i="6"/>
  <c r="P6" i="6"/>
  <c r="AR6" i="6"/>
  <c r="AO6" i="6"/>
  <c r="AH6" i="6"/>
  <c r="AM6" i="6"/>
  <c r="AK6" i="6"/>
  <c r="L6" i="6"/>
  <c r="AN6" i="6"/>
  <c r="AI11" i="6"/>
  <c r="AH11" i="6"/>
  <c r="O11" i="6"/>
  <c r="AJ11" i="6"/>
  <c r="AQ11" i="6"/>
  <c r="L11" i="6"/>
  <c r="AP11" i="6"/>
  <c r="AR11" i="6"/>
  <c r="AM11" i="6"/>
  <c r="AO11" i="6"/>
  <c r="AL11" i="6"/>
  <c r="AN11" i="6"/>
  <c r="AS11" i="6"/>
  <c r="N17" i="6"/>
  <c r="AO17" i="6"/>
  <c r="M17" i="6"/>
  <c r="AI17" i="6"/>
  <c r="AP17" i="6"/>
  <c r="P17" i="6"/>
  <c r="AH17" i="6"/>
  <c r="AQ17" i="6"/>
  <c r="AJ17" i="6"/>
  <c r="AL17" i="6"/>
  <c r="AS17" i="6"/>
  <c r="Q17" i="6"/>
  <c r="AM17" i="6"/>
  <c r="AK23" i="6"/>
  <c r="AQ23" i="6"/>
  <c r="AJ23" i="6"/>
  <c r="AL23" i="6"/>
  <c r="AH23" i="6"/>
  <c r="AS23" i="6"/>
  <c r="P23" i="6"/>
  <c r="AR23" i="6"/>
  <c r="AI23" i="6"/>
  <c r="M23" i="6"/>
  <c r="AO23" i="6"/>
  <c r="AN23" i="6"/>
  <c r="AP23" i="6"/>
  <c r="AM23" i="6"/>
  <c r="AO27" i="6"/>
  <c r="AJ27" i="6"/>
  <c r="AQ27" i="6"/>
  <c r="P27" i="6"/>
  <c r="AS27" i="6"/>
  <c r="O27" i="6"/>
  <c r="AI27" i="6"/>
  <c r="AR27" i="6"/>
  <c r="AP27" i="6"/>
  <c r="AK27" i="6"/>
  <c r="AL27" i="6"/>
  <c r="AH27" i="6"/>
  <c r="AM27" i="6"/>
  <c r="AN27" i="6"/>
  <c r="O32" i="6"/>
  <c r="AK32" i="6"/>
  <c r="Q32" i="6"/>
  <c r="P32" i="6"/>
  <c r="N32" i="6"/>
  <c r="AL32" i="6"/>
  <c r="AO32" i="6"/>
  <c r="AR32" i="6"/>
  <c r="AI32" i="6"/>
  <c r="AN36" i="6"/>
  <c r="AI36" i="6"/>
  <c r="AL36" i="6"/>
  <c r="AR36" i="6"/>
  <c r="L36" i="6"/>
  <c r="AK36" i="6"/>
  <c r="AQ36" i="6"/>
  <c r="AO36" i="6"/>
  <c r="AS36" i="6"/>
  <c r="AJ36" i="6"/>
  <c r="AH36" i="6"/>
  <c r="AM36" i="6"/>
  <c r="AP36" i="6"/>
  <c r="Q36" i="6"/>
  <c r="P36" i="6"/>
  <c r="Q42" i="6"/>
  <c r="AS42" i="6"/>
  <c r="P42" i="6"/>
  <c r="AM42" i="6"/>
  <c r="N42" i="6"/>
  <c r="AQ46" i="6"/>
  <c r="M46" i="6"/>
  <c r="AN46" i="6"/>
  <c r="P46" i="6"/>
  <c r="N46" i="6"/>
  <c r="Q46" i="6"/>
  <c r="O46" i="6"/>
  <c r="AM46" i="6"/>
  <c r="AO46" i="6"/>
  <c r="AJ46" i="6"/>
  <c r="AR46" i="6"/>
  <c r="AJ50" i="6"/>
  <c r="AQ50" i="6"/>
  <c r="L50" i="6"/>
  <c r="AH50" i="6"/>
  <c r="Q50" i="6"/>
  <c r="N50" i="6"/>
  <c r="AR50" i="6"/>
  <c r="M50" i="6"/>
  <c r="AI50" i="6"/>
  <c r="AO50" i="6"/>
  <c r="AP50" i="6"/>
  <c r="AN50" i="6"/>
  <c r="AL50" i="6"/>
  <c r="P50" i="6"/>
  <c r="AK50" i="6"/>
  <c r="AI56" i="6"/>
  <c r="AP56" i="6"/>
  <c r="AR56" i="6"/>
  <c r="L56" i="6"/>
  <c r="AQ56" i="6"/>
  <c r="AS56" i="6"/>
  <c r="N56" i="6"/>
  <c r="AJ56" i="6"/>
  <c r="AH56" i="6"/>
  <c r="AM56" i="6"/>
  <c r="M56" i="6"/>
  <c r="AO56" i="6"/>
  <c r="P56" i="6"/>
  <c r="AO60" i="6"/>
  <c r="AM60" i="6"/>
  <c r="AH60" i="6"/>
  <c r="AS60" i="6"/>
  <c r="AR60" i="6"/>
  <c r="AP60" i="6"/>
  <c r="P60" i="6"/>
  <c r="N60" i="6"/>
  <c r="AK60" i="6"/>
  <c r="AJ60" i="6"/>
  <c r="AI60" i="6"/>
  <c r="AN60" i="6"/>
  <c r="M60" i="6"/>
  <c r="AQ60" i="6"/>
  <c r="AL60" i="6"/>
  <c r="AK64" i="6"/>
  <c r="Q64" i="6"/>
  <c r="N64" i="6"/>
  <c r="AL64" i="6"/>
  <c r="AS64" i="6"/>
  <c r="O64" i="6"/>
  <c r="AN64" i="6"/>
  <c r="M64" i="6"/>
  <c r="AO64" i="6"/>
  <c r="AI64" i="6"/>
  <c r="AJ64" i="6"/>
  <c r="AP64" i="6"/>
  <c r="AM64" i="6"/>
  <c r="AN71" i="6"/>
  <c r="AI71" i="6"/>
  <c r="AL71" i="6"/>
  <c r="AR71" i="6"/>
  <c r="M71" i="6"/>
  <c r="AS71" i="6"/>
  <c r="AQ71" i="6"/>
  <c r="L71" i="6"/>
  <c r="AO71" i="6"/>
  <c r="AJ71" i="6"/>
  <c r="AK71" i="6"/>
  <c r="AM71" i="6"/>
  <c r="AP71" i="6"/>
  <c r="AH71" i="6"/>
  <c r="Q71" i="6"/>
  <c r="M75" i="6"/>
  <c r="AJ75" i="6"/>
  <c r="AQ75" i="6"/>
  <c r="AS75" i="6"/>
  <c r="Q75" i="6"/>
  <c r="AO75" i="6"/>
  <c r="AR75" i="6"/>
  <c r="L75" i="6"/>
  <c r="AI75" i="6"/>
  <c r="AK75" i="6"/>
  <c r="AP75" i="6"/>
  <c r="P75" i="6"/>
  <c r="AM75" i="6"/>
  <c r="AN75" i="6"/>
  <c r="AL75" i="6"/>
  <c r="O75" i="6"/>
  <c r="AH75" i="6"/>
  <c r="N79" i="6"/>
  <c r="Q79" i="6"/>
  <c r="P79" i="6"/>
  <c r="AH79" i="6"/>
  <c r="AR79" i="6"/>
  <c r="AP79" i="6"/>
  <c r="M79" i="6"/>
  <c r="O79" i="6"/>
  <c r="I82" i="6"/>
  <c r="L82" i="6" s="1"/>
  <c r="I6" i="9"/>
  <c r="L6" i="9"/>
  <c r="M11" i="9"/>
  <c r="O11" i="9"/>
  <c r="L11" i="9"/>
  <c r="L17" i="9"/>
  <c r="M17" i="9"/>
  <c r="M23" i="9"/>
  <c r="P36" i="9"/>
  <c r="N36" i="9"/>
  <c r="O36" i="9"/>
  <c r="M36" i="9"/>
  <c r="L36" i="9"/>
  <c r="L42" i="9"/>
  <c r="AS46" i="9"/>
  <c r="I56" i="9"/>
  <c r="L56" i="9"/>
  <c r="P64" i="9"/>
  <c r="Q64" i="9"/>
  <c r="N64" i="9"/>
  <c r="M64" i="9"/>
  <c r="M71" i="9"/>
  <c r="M75" i="9"/>
  <c r="O75" i="9"/>
  <c r="L75" i="9"/>
  <c r="P75" i="9"/>
  <c r="N75" i="9"/>
  <c r="M79" i="9"/>
  <c r="AE82" i="9"/>
  <c r="AF46" i="9"/>
  <c r="I71" i="9"/>
  <c r="S82" i="9"/>
  <c r="I17" i="9"/>
  <c r="I32" i="9"/>
  <c r="D82" i="9"/>
  <c r="I79" i="9"/>
  <c r="I60" i="9"/>
  <c r="I11" i="9"/>
  <c r="K79" i="8"/>
  <c r="L79" i="8"/>
  <c r="N79" i="8"/>
  <c r="M79" i="8"/>
  <c r="L75" i="8"/>
  <c r="M71" i="8"/>
  <c r="L71" i="8"/>
  <c r="O71" i="8"/>
  <c r="K71" i="8"/>
  <c r="X71" i="8"/>
  <c r="N64" i="8"/>
  <c r="M64" i="8"/>
  <c r="K64" i="8"/>
  <c r="K60" i="8"/>
  <c r="N60" i="8"/>
  <c r="L60" i="8"/>
  <c r="O60" i="8"/>
  <c r="X56" i="8"/>
  <c r="M50" i="8"/>
  <c r="K50" i="8"/>
  <c r="N50" i="8"/>
  <c r="O50" i="8"/>
  <c r="Z46" i="8"/>
  <c r="H46" i="1"/>
  <c r="J46" i="1" s="1"/>
  <c r="Y46" i="8"/>
  <c r="L46" i="8"/>
  <c r="X46" i="8"/>
  <c r="M46" i="8"/>
  <c r="M42" i="8"/>
  <c r="N36" i="8"/>
  <c r="K36" i="8"/>
  <c r="O36" i="8"/>
  <c r="K32" i="8"/>
  <c r="M32" i="8"/>
  <c r="L32" i="8"/>
  <c r="O32" i="8"/>
  <c r="I27" i="1"/>
  <c r="M27" i="8"/>
  <c r="O27" i="8"/>
  <c r="Z27" i="8"/>
  <c r="L27" i="8"/>
  <c r="M23" i="8"/>
  <c r="N23" i="8"/>
  <c r="L23" i="8"/>
  <c r="M17" i="8"/>
  <c r="O17" i="8"/>
  <c r="I11" i="1"/>
  <c r="K11" i="8"/>
  <c r="X11" i="8"/>
  <c r="Z11" i="8"/>
  <c r="L11" i="8"/>
  <c r="O11" i="8"/>
  <c r="N11" i="8"/>
  <c r="Y6" i="8"/>
  <c r="N6" i="8"/>
  <c r="H82" i="8"/>
  <c r="M82" i="8" s="1"/>
  <c r="U82" i="8"/>
  <c r="Z82" i="8" s="1"/>
  <c r="K6" i="8"/>
  <c r="X17" i="5"/>
  <c r="R27" i="1"/>
  <c r="Z27" i="5"/>
  <c r="X27" i="5"/>
  <c r="Z32" i="5"/>
  <c r="Y32" i="5"/>
  <c r="X32" i="5"/>
  <c r="R32" i="1"/>
  <c r="Y36" i="5"/>
  <c r="X36" i="5"/>
  <c r="R36" i="1"/>
  <c r="Y42" i="5"/>
  <c r="X42" i="5"/>
  <c r="AB42" i="5"/>
  <c r="O42" i="5"/>
  <c r="K42" i="5"/>
  <c r="N42" i="5"/>
  <c r="M42" i="5"/>
  <c r="Z42" i="5"/>
  <c r="L42" i="5"/>
  <c r="R42" i="1"/>
  <c r="S42" i="1" s="1"/>
  <c r="X46" i="5"/>
  <c r="R46" i="1"/>
  <c r="Z46" i="5"/>
  <c r="X50" i="5"/>
  <c r="Z50" i="5"/>
  <c r="Y60" i="5"/>
  <c r="N64" i="5"/>
  <c r="Z64" i="5"/>
  <c r="Q75" i="1"/>
  <c r="N75" i="5"/>
  <c r="Y75" i="5"/>
  <c r="L75" i="5"/>
  <c r="U82" i="5"/>
  <c r="Y82" i="5" s="1"/>
  <c r="M79" i="5"/>
  <c r="Y79" i="5"/>
  <c r="L79" i="5"/>
  <c r="L56" i="5"/>
  <c r="M56" i="5"/>
  <c r="S64" i="1"/>
  <c r="K71" i="5"/>
  <c r="N56" i="5"/>
  <c r="L64" i="5"/>
  <c r="O75" i="5"/>
  <c r="N60" i="5"/>
  <c r="L71" i="5"/>
  <c r="O56" i="5"/>
  <c r="O46" i="5"/>
  <c r="M32" i="5"/>
  <c r="N6" i="5"/>
  <c r="K50" i="5"/>
  <c r="M46" i="5"/>
  <c r="K46" i="5"/>
  <c r="O6" i="5"/>
  <c r="K60" i="5"/>
  <c r="N46" i="5"/>
  <c r="M71" i="5"/>
  <c r="M64" i="5"/>
  <c r="L36" i="5"/>
  <c r="L60" i="5"/>
  <c r="L50" i="5"/>
  <c r="N36" i="5"/>
  <c r="L32" i="5"/>
  <c r="O11" i="5"/>
  <c r="M17" i="5"/>
  <c r="O36" i="5"/>
  <c r="N71" i="5"/>
  <c r="N50" i="5"/>
  <c r="O27" i="5"/>
  <c r="M50" i="5"/>
  <c r="O17" i="5"/>
  <c r="L6" i="5"/>
  <c r="L23" i="5"/>
  <c r="Q11" i="1"/>
  <c r="H82" i="5"/>
  <c r="M82" i="5" s="1"/>
  <c r="O23" i="5"/>
  <c r="K11" i="5"/>
  <c r="K27" i="5"/>
  <c r="K17" i="5"/>
  <c r="L17" i="5"/>
  <c r="M23" i="5"/>
  <c r="N23" i="5"/>
  <c r="O60" i="5"/>
  <c r="M11" i="5"/>
  <c r="O32" i="5"/>
  <c r="N11" i="5"/>
  <c r="N27" i="5"/>
  <c r="K64" i="5"/>
  <c r="D23" i="2"/>
  <c r="I34" i="2"/>
  <c r="I48" i="2"/>
  <c r="D17" i="2"/>
  <c r="C32" i="2"/>
  <c r="I38" i="2"/>
  <c r="I60" i="2"/>
  <c r="I63" i="2"/>
  <c r="I74" i="2"/>
  <c r="D32" i="2"/>
  <c r="I31" i="2"/>
  <c r="I55" i="2"/>
  <c r="C71" i="2"/>
  <c r="I70" i="2"/>
  <c r="I27" i="9"/>
  <c r="L27" i="9" s="1"/>
  <c r="I75" i="2"/>
  <c r="I9" i="2"/>
  <c r="Q11" i="2"/>
  <c r="I29" i="2"/>
  <c r="I36" i="2"/>
  <c r="D42" i="2"/>
  <c r="C17" i="2"/>
  <c r="I17" i="2" s="1"/>
  <c r="Q17" i="2"/>
  <c r="I22" i="2"/>
  <c r="Q23" i="2"/>
  <c r="C27" i="2"/>
  <c r="I26" i="2"/>
  <c r="Q27" i="2"/>
  <c r="I41" i="2"/>
  <c r="N82" i="2"/>
  <c r="I69" i="2"/>
  <c r="I71" i="2"/>
  <c r="L82" i="2"/>
  <c r="P82" i="2"/>
  <c r="R3" i="3"/>
  <c r="X11" i="3"/>
  <c r="Z11" i="3" s="1"/>
  <c r="R13" i="3"/>
  <c r="R22" i="3"/>
  <c r="R30" i="3"/>
  <c r="P36" i="3"/>
  <c r="R41" i="3"/>
  <c r="R53" i="3"/>
  <c r="Q60" i="3"/>
  <c r="R68" i="3"/>
  <c r="R70" i="3"/>
  <c r="R78" i="3"/>
  <c r="G82" i="7"/>
  <c r="D82" i="7"/>
  <c r="N82" i="7"/>
  <c r="Q17" i="1"/>
  <c r="S17" i="1" s="1"/>
  <c r="AB17" i="5"/>
  <c r="Q32" i="1"/>
  <c r="S32" i="1" s="1"/>
  <c r="AB32" i="5"/>
  <c r="H79" i="1"/>
  <c r="AB79" i="8"/>
  <c r="H11" i="1"/>
  <c r="AB11" i="8"/>
  <c r="H17" i="1"/>
  <c r="AB17" i="8"/>
  <c r="I50" i="9"/>
  <c r="M50" i="9" s="1"/>
  <c r="M17" i="1"/>
  <c r="O17" i="1" s="1"/>
  <c r="D79" i="1"/>
  <c r="F79" i="1" s="1"/>
  <c r="AU79" i="6"/>
  <c r="D27" i="1"/>
  <c r="F27" i="1" s="1"/>
  <c r="AU27" i="6"/>
  <c r="D36" i="1"/>
  <c r="F36" i="1" s="1"/>
  <c r="AU36" i="6"/>
  <c r="AU73" i="9"/>
  <c r="AB64" i="5"/>
  <c r="AB46" i="8"/>
  <c r="I6" i="1"/>
  <c r="O82" i="2"/>
  <c r="I11" i="7"/>
  <c r="Q27" i="7"/>
  <c r="I32" i="7"/>
  <c r="Q36" i="7"/>
  <c r="I50" i="7"/>
  <c r="Q50" i="7"/>
  <c r="Q56" i="7"/>
  <c r="I71" i="7"/>
  <c r="H82" i="7"/>
  <c r="O82" i="7"/>
  <c r="X50" i="4"/>
  <c r="Z50" i="4" s="1"/>
  <c r="R56" i="4"/>
  <c r="P64" i="4"/>
  <c r="R64" i="4" s="1"/>
  <c r="Q79" i="1"/>
  <c r="AB79" i="5"/>
  <c r="Q60" i="1"/>
  <c r="S60" i="1" s="1"/>
  <c r="AB60" i="5"/>
  <c r="Q71" i="1"/>
  <c r="AB71" i="5"/>
  <c r="H75" i="1"/>
  <c r="AB75" i="8"/>
  <c r="M6" i="1"/>
  <c r="O6" i="1" s="1"/>
  <c r="AU6" i="9"/>
  <c r="M74" i="1"/>
  <c r="O74" i="1" s="1"/>
  <c r="AU74" i="9"/>
  <c r="D60" i="1"/>
  <c r="F60" i="1" s="1"/>
  <c r="AU60" i="6"/>
  <c r="D71" i="1"/>
  <c r="F71" i="1" s="1"/>
  <c r="AU71" i="6"/>
  <c r="D11" i="1"/>
  <c r="F11" i="1" s="1"/>
  <c r="AU11" i="6"/>
  <c r="D23" i="1"/>
  <c r="F23" i="1" s="1"/>
  <c r="AU23" i="6"/>
  <c r="AB23" i="5"/>
  <c r="D32" i="1"/>
  <c r="F32" i="1" s="1"/>
  <c r="AU32" i="6"/>
  <c r="D17" i="1"/>
  <c r="F17" i="1" s="1"/>
  <c r="AU17" i="6"/>
  <c r="F82" i="2"/>
  <c r="Q6" i="2"/>
  <c r="I15" i="2"/>
  <c r="Q32" i="2"/>
  <c r="C42" i="2"/>
  <c r="I42" i="2" s="1"/>
  <c r="I39" i="2"/>
  <c r="I49" i="2"/>
  <c r="Q50" i="2"/>
  <c r="I58" i="2"/>
  <c r="I59" i="2"/>
  <c r="Q60" i="2"/>
  <c r="Q75" i="2"/>
  <c r="C79" i="2"/>
  <c r="R4" i="3"/>
  <c r="P23" i="3"/>
  <c r="Q27" i="3"/>
  <c r="Q32" i="3"/>
  <c r="R32" i="3" s="1"/>
  <c r="R35" i="3"/>
  <c r="R40" i="3"/>
  <c r="Q50" i="3"/>
  <c r="R50" i="3" s="1"/>
  <c r="P60" i="3"/>
  <c r="R60" i="3" s="1"/>
  <c r="R63" i="3"/>
  <c r="Q79" i="3"/>
  <c r="I17" i="7"/>
  <c r="Q17" i="7"/>
  <c r="Q32" i="7"/>
  <c r="I46" i="7"/>
  <c r="I56" i="7"/>
  <c r="I75" i="7"/>
  <c r="Q75" i="7"/>
  <c r="L82" i="7"/>
  <c r="P82" i="7"/>
  <c r="Q50" i="1"/>
  <c r="AB50" i="5"/>
  <c r="Q56" i="1"/>
  <c r="Q27" i="1"/>
  <c r="S27" i="1" s="1"/>
  <c r="AB27" i="5"/>
  <c r="H71" i="1"/>
  <c r="AB71" i="8"/>
  <c r="H36" i="1"/>
  <c r="J36" i="1" s="1"/>
  <c r="AB36" i="8"/>
  <c r="H60" i="1"/>
  <c r="J60" i="1" s="1"/>
  <c r="AB60" i="8"/>
  <c r="I46" i="9"/>
  <c r="M44" i="1"/>
  <c r="O44" i="1" s="1"/>
  <c r="AU44" i="9"/>
  <c r="M64" i="1"/>
  <c r="O64" i="1" s="1"/>
  <c r="AU64" i="9"/>
  <c r="M36" i="1"/>
  <c r="O36" i="1" s="1"/>
  <c r="AU36" i="9"/>
  <c r="M75" i="1"/>
  <c r="D42" i="1"/>
  <c r="F42" i="1" s="1"/>
  <c r="AU42" i="6"/>
  <c r="D64" i="1"/>
  <c r="F64" i="1" s="1"/>
  <c r="AU64" i="6"/>
  <c r="D6" i="1"/>
  <c r="F6" i="1" s="1"/>
  <c r="AU6" i="6"/>
  <c r="D75" i="1"/>
  <c r="F75" i="1" s="1"/>
  <c r="AU75" i="6"/>
  <c r="H32" i="1"/>
  <c r="AB32" i="8"/>
  <c r="H82" i="2"/>
  <c r="I11" i="2"/>
  <c r="Q46" i="2"/>
  <c r="M82" i="2"/>
  <c r="X56" i="3"/>
  <c r="Z56" i="3" s="1"/>
  <c r="P79" i="3"/>
  <c r="R79" i="3" s="1"/>
  <c r="Q6" i="7"/>
  <c r="I23" i="7"/>
  <c r="I36" i="7"/>
  <c r="I42" i="7"/>
  <c r="Q42" i="7"/>
  <c r="Q46" i="7"/>
  <c r="I60" i="7"/>
  <c r="Q60" i="7"/>
  <c r="Q64" i="7"/>
  <c r="F82" i="7"/>
  <c r="C82" i="7"/>
  <c r="M82" i="7"/>
  <c r="Q82" i="7" s="1"/>
  <c r="P36" i="4"/>
  <c r="R36" i="4" s="1"/>
  <c r="Q46" i="1"/>
  <c r="AB46" i="5"/>
  <c r="Q36" i="1"/>
  <c r="AB36" i="5"/>
  <c r="H23" i="1"/>
  <c r="J23" i="1" s="1"/>
  <c r="AB23" i="8"/>
  <c r="H27" i="1"/>
  <c r="AB27" i="8"/>
  <c r="H56" i="1"/>
  <c r="J56" i="1" s="1"/>
  <c r="AB56" i="8"/>
  <c r="M56" i="1"/>
  <c r="O56" i="1" s="1"/>
  <c r="AU56" i="9"/>
  <c r="D46" i="1"/>
  <c r="F46" i="1" s="1"/>
  <c r="AU46" i="6"/>
  <c r="D56" i="1"/>
  <c r="F56" i="1" s="1"/>
  <c r="AU56" i="6"/>
  <c r="H42" i="1"/>
  <c r="J42" i="1" s="1"/>
  <c r="AB42" i="8"/>
  <c r="D50" i="1"/>
  <c r="F50" i="1" s="1"/>
  <c r="AU50" i="6"/>
  <c r="I64" i="1"/>
  <c r="J64" i="1" s="1"/>
  <c r="AB64" i="8"/>
  <c r="H50" i="1"/>
  <c r="J50" i="1" s="1"/>
  <c r="AB50" i="8"/>
  <c r="R75" i="1"/>
  <c r="AB75" i="5"/>
  <c r="R11" i="1"/>
  <c r="AB11" i="5"/>
  <c r="D82" i="4"/>
  <c r="H82" i="4"/>
  <c r="L82" i="4"/>
  <c r="Q82" i="4"/>
  <c r="P17" i="4"/>
  <c r="R17" i="4" s="1"/>
  <c r="X11" i="4"/>
  <c r="Z11" i="4" s="1"/>
  <c r="X46" i="4"/>
  <c r="Z46" i="4" s="1"/>
  <c r="X42" i="4"/>
  <c r="Z42" i="4" s="1"/>
  <c r="AF82" i="6"/>
  <c r="E82" i="1" s="1"/>
  <c r="I42" i="9"/>
  <c r="AF75" i="9"/>
  <c r="AH75" i="9" s="1"/>
  <c r="I23" i="9"/>
  <c r="F82" i="9"/>
  <c r="C82" i="9"/>
  <c r="F82" i="4"/>
  <c r="E82" i="4"/>
  <c r="I82" i="4"/>
  <c r="M82" i="4"/>
  <c r="X6" i="4"/>
  <c r="Z6" i="4" s="1"/>
  <c r="R11" i="4"/>
  <c r="P27" i="4"/>
  <c r="R27" i="4" s="1"/>
  <c r="X27" i="4"/>
  <c r="Z27" i="4" s="1"/>
  <c r="P42" i="4"/>
  <c r="P50" i="4"/>
  <c r="X71" i="4"/>
  <c r="Z71" i="4" s="1"/>
  <c r="T82" i="4"/>
  <c r="X82" i="4" s="1"/>
  <c r="Z82" i="4" s="1"/>
  <c r="X79" i="4"/>
  <c r="Z79" i="4" s="1"/>
  <c r="J82" i="4"/>
  <c r="U82" i="4"/>
  <c r="C82" i="4"/>
  <c r="G82" i="4"/>
  <c r="K82" i="4"/>
  <c r="O82" i="4"/>
  <c r="P32" i="4"/>
  <c r="R32" i="4" s="1"/>
  <c r="P60" i="4"/>
  <c r="R60" i="4" s="1"/>
  <c r="P75" i="4"/>
  <c r="R75" i="4" s="1"/>
  <c r="V82" i="4"/>
  <c r="N82" i="4"/>
  <c r="P11" i="4"/>
  <c r="X17" i="4"/>
  <c r="Z17" i="4" s="1"/>
  <c r="P23" i="4"/>
  <c r="R23" i="4" s="1"/>
  <c r="X32" i="4"/>
  <c r="Z32" i="4" s="1"/>
  <c r="X36" i="4"/>
  <c r="Z36" i="4" s="1"/>
  <c r="P46" i="4"/>
  <c r="R46" i="4" s="1"/>
  <c r="X56" i="4"/>
  <c r="Z56" i="4" s="1"/>
  <c r="X60" i="4"/>
  <c r="Z60" i="4" s="1"/>
  <c r="X64" i="4"/>
  <c r="Z64" i="4" s="1"/>
  <c r="P71" i="4"/>
  <c r="R71" i="4" s="1"/>
  <c r="W82" i="4"/>
  <c r="P79" i="4"/>
  <c r="R79" i="4" s="1"/>
  <c r="L82" i="3"/>
  <c r="Q17" i="3"/>
  <c r="R14" i="3"/>
  <c r="R16" i="3"/>
  <c r="X17" i="3"/>
  <c r="Z17" i="3" s="1"/>
  <c r="R21" i="3"/>
  <c r="R25" i="3"/>
  <c r="R26" i="3"/>
  <c r="X27" i="3"/>
  <c r="Z27" i="3" s="1"/>
  <c r="R31" i="3"/>
  <c r="Q36" i="3"/>
  <c r="R36" i="3" s="1"/>
  <c r="R39" i="3"/>
  <c r="P42" i="3"/>
  <c r="O46" i="3"/>
  <c r="R48" i="3"/>
  <c r="R49" i="3"/>
  <c r="V82" i="3"/>
  <c r="Q75" i="3"/>
  <c r="U82" i="3"/>
  <c r="W82" i="3"/>
  <c r="R64" i="3"/>
  <c r="Q23" i="3"/>
  <c r="R23" i="3" s="1"/>
  <c r="X36" i="3"/>
  <c r="Z36" i="3" s="1"/>
  <c r="R44" i="3"/>
  <c r="X50" i="3"/>
  <c r="Z50" i="3" s="1"/>
  <c r="X64" i="3"/>
  <c r="Z64" i="3" s="1"/>
  <c r="X71" i="3"/>
  <c r="Z71" i="3" s="1"/>
  <c r="X79" i="3"/>
  <c r="Z79" i="3" s="1"/>
  <c r="X6" i="3"/>
  <c r="Z6" i="3" s="1"/>
  <c r="R8" i="3"/>
  <c r="P11" i="3"/>
  <c r="R11" i="3" s="1"/>
  <c r="P17" i="3"/>
  <c r="P27" i="3"/>
  <c r="R27" i="3" s="1"/>
  <c r="Q42" i="3"/>
  <c r="R42" i="3" s="1"/>
  <c r="C46" i="3"/>
  <c r="P46" i="3" s="1"/>
  <c r="G82" i="3"/>
  <c r="K82" i="3"/>
  <c r="X46" i="3"/>
  <c r="Z46" i="3" s="1"/>
  <c r="Q56" i="3"/>
  <c r="R56" i="3" s="1"/>
  <c r="R54" i="3"/>
  <c r="X60" i="3"/>
  <c r="Z60" i="3" s="1"/>
  <c r="R62" i="3"/>
  <c r="Q71" i="3"/>
  <c r="R71" i="3" s="1"/>
  <c r="R69" i="3"/>
  <c r="O75" i="3"/>
  <c r="P75" i="3" s="1"/>
  <c r="R42" i="4"/>
  <c r="R50" i="4"/>
  <c r="P6" i="4"/>
  <c r="X75" i="4"/>
  <c r="Z75" i="4" s="1"/>
  <c r="R25" i="4"/>
  <c r="R52" i="4"/>
  <c r="I79" i="7"/>
  <c r="E82" i="7"/>
  <c r="I82" i="7" s="1"/>
  <c r="Q79" i="7"/>
  <c r="R17" i="3"/>
  <c r="R45" i="3"/>
  <c r="Q6" i="3"/>
  <c r="R19" i="3"/>
  <c r="R29" i="3"/>
  <c r="R38" i="3"/>
  <c r="R52" i="3"/>
  <c r="R59" i="3"/>
  <c r="R73" i="3"/>
  <c r="Q46" i="3"/>
  <c r="P74" i="3"/>
  <c r="R74" i="3" s="1"/>
  <c r="T82" i="3"/>
  <c r="X82" i="3" s="1"/>
  <c r="Z82" i="3" s="1"/>
  <c r="P6" i="3"/>
  <c r="I64" i="2"/>
  <c r="I79" i="2"/>
  <c r="Q82" i="2"/>
  <c r="G82" i="2"/>
  <c r="C23" i="2"/>
  <c r="I23" i="2" s="1"/>
  <c r="C50" i="2"/>
  <c r="I50" i="2" s="1"/>
  <c r="C56" i="2"/>
  <c r="I56" i="2" s="1"/>
  <c r="I77" i="2"/>
  <c r="E82" i="2"/>
  <c r="C6" i="2"/>
  <c r="I6" i="2" s="1"/>
  <c r="I8" i="2"/>
  <c r="I13" i="2"/>
  <c r="D27" i="2"/>
  <c r="D82" i="2" s="1"/>
  <c r="I44" i="2"/>
  <c r="I46" i="2" s="1"/>
  <c r="Q79" i="2"/>
  <c r="S71" i="1" l="1"/>
  <c r="S79" i="1"/>
  <c r="S50" i="1"/>
  <c r="S75" i="1"/>
  <c r="J71" i="1"/>
  <c r="J75" i="1"/>
  <c r="J17" i="1"/>
  <c r="J32" i="1"/>
  <c r="J79" i="1"/>
  <c r="J27" i="1"/>
  <c r="J11" i="1"/>
  <c r="O82" i="6"/>
  <c r="M82" i="6"/>
  <c r="AH82" i="6"/>
  <c r="D82" i="1"/>
  <c r="F82" i="1" s="1"/>
  <c r="Q82" i="6"/>
  <c r="P82" i="6"/>
  <c r="N82" i="6"/>
  <c r="AN82" i="6"/>
  <c r="AO82" i="6"/>
  <c r="AP82" i="6"/>
  <c r="AI82" i="6"/>
  <c r="AQ82" i="6"/>
  <c r="AS82" i="6"/>
  <c r="AL82" i="6"/>
  <c r="AJ82" i="6"/>
  <c r="AK82" i="6"/>
  <c r="AR82" i="6"/>
  <c r="AM82" i="6"/>
  <c r="N6" i="9"/>
  <c r="Q6" i="9"/>
  <c r="M6" i="9"/>
  <c r="O6" i="9"/>
  <c r="P6" i="9"/>
  <c r="AU11" i="9"/>
  <c r="N11" i="9"/>
  <c r="P11" i="9"/>
  <c r="Q11" i="9"/>
  <c r="AU17" i="9"/>
  <c r="P17" i="9"/>
  <c r="Q17" i="9"/>
  <c r="O17" i="9"/>
  <c r="N17" i="9"/>
  <c r="N23" i="9"/>
  <c r="Q23" i="9"/>
  <c r="P23" i="9"/>
  <c r="O23" i="9"/>
  <c r="L23" i="9"/>
  <c r="AU27" i="9"/>
  <c r="N27" i="9"/>
  <c r="O27" i="9"/>
  <c r="Q27" i="9"/>
  <c r="P27" i="9"/>
  <c r="M27" i="9"/>
  <c r="M32" i="1"/>
  <c r="O32" i="1" s="1"/>
  <c r="P32" i="9"/>
  <c r="N32" i="9"/>
  <c r="Q32" i="9"/>
  <c r="O32" i="9"/>
  <c r="M32" i="9"/>
  <c r="L32" i="9"/>
  <c r="Q42" i="9"/>
  <c r="N42" i="9"/>
  <c r="O42" i="9"/>
  <c r="P42" i="9"/>
  <c r="M42" i="9"/>
  <c r="Q46" i="9"/>
  <c r="O46" i="9"/>
  <c r="L46" i="9"/>
  <c r="P46" i="9"/>
  <c r="N46" i="9"/>
  <c r="M46" i="9"/>
  <c r="N46" i="1"/>
  <c r="AN46" i="9"/>
  <c r="AO46" i="9"/>
  <c r="AL46" i="9"/>
  <c r="AR46" i="9"/>
  <c r="AP46" i="9"/>
  <c r="AI46" i="9"/>
  <c r="AJ46" i="9"/>
  <c r="AM46" i="9"/>
  <c r="AK46" i="9"/>
  <c r="AQ46" i="9"/>
  <c r="AH46" i="9"/>
  <c r="N50" i="9"/>
  <c r="P50" i="9"/>
  <c r="Q50" i="9"/>
  <c r="O50" i="9"/>
  <c r="L50" i="9"/>
  <c r="M56" i="9"/>
  <c r="P56" i="9"/>
  <c r="Q56" i="9"/>
  <c r="N56" i="9"/>
  <c r="O56" i="9"/>
  <c r="M60" i="1"/>
  <c r="O60" i="1" s="1"/>
  <c r="Q60" i="9"/>
  <c r="N60" i="9"/>
  <c r="O60" i="9"/>
  <c r="P60" i="9"/>
  <c r="L60" i="9"/>
  <c r="M60" i="9"/>
  <c r="P71" i="9"/>
  <c r="Q71" i="9"/>
  <c r="O71" i="9"/>
  <c r="N71" i="9"/>
  <c r="L71" i="9"/>
  <c r="AS75" i="9"/>
  <c r="N75" i="1"/>
  <c r="AN75" i="9"/>
  <c r="AK75" i="9"/>
  <c r="AQ75" i="9"/>
  <c r="AR75" i="9"/>
  <c r="AJ75" i="9"/>
  <c r="AO75" i="9"/>
  <c r="AP75" i="9"/>
  <c r="AM75" i="9"/>
  <c r="AL75" i="9"/>
  <c r="AI75" i="9"/>
  <c r="AU79" i="9"/>
  <c r="Q79" i="9"/>
  <c r="P79" i="9"/>
  <c r="N79" i="9"/>
  <c r="O79" i="9"/>
  <c r="L79" i="9"/>
  <c r="M11" i="1"/>
  <c r="O11" i="1" s="1"/>
  <c r="AU32" i="9"/>
  <c r="AF82" i="9"/>
  <c r="AU75" i="9"/>
  <c r="M27" i="1"/>
  <c r="O27" i="1" s="1"/>
  <c r="AU60" i="9"/>
  <c r="M79" i="1"/>
  <c r="O79" i="1" s="1"/>
  <c r="O75" i="1"/>
  <c r="L82" i="8"/>
  <c r="N82" i="8"/>
  <c r="O82" i="8"/>
  <c r="K82" i="8"/>
  <c r="I82" i="1"/>
  <c r="Y82" i="8"/>
  <c r="X82" i="8"/>
  <c r="S36" i="1"/>
  <c r="S46" i="1"/>
  <c r="Z82" i="5"/>
  <c r="X82" i="5"/>
  <c r="N82" i="5"/>
  <c r="S11" i="1"/>
  <c r="K82" i="5"/>
  <c r="L82" i="5"/>
  <c r="O82" i="5"/>
  <c r="R75" i="3"/>
  <c r="I32" i="2"/>
  <c r="M46" i="1"/>
  <c r="AU46" i="9"/>
  <c r="I82" i="9"/>
  <c r="M23" i="1"/>
  <c r="O23" i="1" s="1"/>
  <c r="AU23" i="9"/>
  <c r="AU82" i="6"/>
  <c r="M50" i="1"/>
  <c r="O50" i="1" s="1"/>
  <c r="AU50" i="9"/>
  <c r="O82" i="3"/>
  <c r="M71" i="1"/>
  <c r="O71" i="1" s="1"/>
  <c r="AU71" i="9"/>
  <c r="M42" i="1"/>
  <c r="O42" i="1" s="1"/>
  <c r="AU42" i="9"/>
  <c r="P82" i="4"/>
  <c r="R6" i="4"/>
  <c r="R82" i="4" s="1"/>
  <c r="C82" i="3"/>
  <c r="P82" i="3"/>
  <c r="R46" i="3"/>
  <c r="Q82" i="3"/>
  <c r="R6" i="3"/>
  <c r="C82" i="2"/>
  <c r="I82" i="2" s="1"/>
  <c r="I27" i="2"/>
  <c r="O46" i="1" l="1"/>
  <c r="N82" i="1"/>
  <c r="AN82" i="9"/>
  <c r="AP82" i="9"/>
  <c r="AJ82" i="9"/>
  <c r="AR82" i="9"/>
  <c r="AK82" i="9"/>
  <c r="AM82" i="9"/>
  <c r="AL82" i="9"/>
  <c r="AO82" i="9"/>
  <c r="AQ82" i="9"/>
  <c r="AI82" i="9"/>
  <c r="AH82" i="9"/>
  <c r="AS82" i="9"/>
  <c r="M82" i="1"/>
  <c r="O82" i="1" s="1"/>
  <c r="P82" i="9"/>
  <c r="N82" i="9"/>
  <c r="Q82" i="9"/>
  <c r="L82" i="9"/>
  <c r="M82" i="9"/>
  <c r="O82" i="9"/>
  <c r="AU82" i="9"/>
  <c r="R82" i="3"/>
  <c r="Q6" i="1" l="1"/>
  <c r="Q82" i="1"/>
  <c r="K6" i="5"/>
  <c r="AB6" i="5"/>
  <c r="R82" i="1"/>
  <c r="R6" i="1"/>
  <c r="R56" i="1"/>
  <c r="S56" i="1" s="1"/>
  <c r="AB56" i="5"/>
  <c r="S82" i="1" l="1"/>
  <c r="AB82" i="5"/>
  <c r="S6" i="1"/>
  <c r="AB6" i="8"/>
  <c r="AB82" i="8" s="1"/>
  <c r="H6" i="1"/>
  <c r="J6" i="1" s="1"/>
  <c r="H82" i="1"/>
  <c r="J82" i="1" s="1"/>
</calcChain>
</file>

<file path=xl/sharedStrings.xml><?xml version="1.0" encoding="utf-8"?>
<sst xmlns="http://schemas.openxmlformats.org/spreadsheetml/2006/main" count="1171" uniqueCount="216">
  <si>
    <t>CIRCUIT</t>
  </si>
  <si>
    <t>CALHOUN</t>
  </si>
  <si>
    <t>DORCHESTER</t>
  </si>
  <si>
    <t>ORANGEBURG</t>
  </si>
  <si>
    <t>Circuit Total</t>
  </si>
  <si>
    <t>AIKEN</t>
  </si>
  <si>
    <t>BAMBERG</t>
  </si>
  <si>
    <t>BARNWELL</t>
  </si>
  <si>
    <t>CLARENDON</t>
  </si>
  <si>
    <t>LEE</t>
  </si>
  <si>
    <t>SUMTER</t>
  </si>
  <si>
    <t>WILLIAMSBURG</t>
  </si>
  <si>
    <t>CHESTERFIELD</t>
  </si>
  <si>
    <t>DARLINGTON</t>
  </si>
  <si>
    <t>DILLON</t>
  </si>
  <si>
    <t>MARLBORO</t>
  </si>
  <si>
    <t>KERSHAW</t>
  </si>
  <si>
    <t>RICHLAND</t>
  </si>
  <si>
    <t>CHESTER</t>
  </si>
  <si>
    <t>FAIRFIELD</t>
  </si>
  <si>
    <t>LANCASTER</t>
  </si>
  <si>
    <t>CHEROKEE</t>
  </si>
  <si>
    <t>SPARTANBURG</t>
  </si>
  <si>
    <t>ABBEVILLE</t>
  </si>
  <si>
    <t>GREENWOOD</t>
  </si>
  <si>
    <t>LAURENS</t>
  </si>
  <si>
    <t>NEWBERRY</t>
  </si>
  <si>
    <t>BERKELEY</t>
  </si>
  <si>
    <t>CHARLESTON</t>
  </si>
  <si>
    <t>ANDERSON</t>
  </si>
  <si>
    <t>OCONEE</t>
  </si>
  <si>
    <t>EDGEFIELD</t>
  </si>
  <si>
    <t>LEXINGTON</t>
  </si>
  <si>
    <t>McCORMICK</t>
  </si>
  <si>
    <t>SALUDA</t>
  </si>
  <si>
    <t>FLORENCE</t>
  </si>
  <si>
    <t>MARION</t>
  </si>
  <si>
    <t>GREENVILLE</t>
  </si>
  <si>
    <t>PICKENS</t>
  </si>
  <si>
    <t>ALLENDALE</t>
  </si>
  <si>
    <t>BEAUFORT</t>
  </si>
  <si>
    <t>COLLETON</t>
  </si>
  <si>
    <t>HAMPTON</t>
  </si>
  <si>
    <t>JASPER</t>
  </si>
  <si>
    <t>GEORGETOWN</t>
  </si>
  <si>
    <t>HORRY</t>
  </si>
  <si>
    <t>UNION</t>
  </si>
  <si>
    <t>YORK</t>
  </si>
  <si>
    <t>Grand Total</t>
  </si>
  <si>
    <t>Indigent Defense</t>
  </si>
  <si>
    <t>Total              Expenses</t>
  </si>
  <si>
    <t>Total               Revenue</t>
  </si>
  <si>
    <t>Difference</t>
  </si>
  <si>
    <t>Prosecution</t>
  </si>
  <si>
    <t>Difference
(Circuits showing a deficit balance used carry forward/accumulated funds from previous years to provide additional revenue)</t>
  </si>
  <si>
    <t xml:space="preserve">Notes
</t>
  </si>
  <si>
    <t xml:space="preserve">Aiken County handles all expenditures for the circuit. </t>
  </si>
  <si>
    <t xml:space="preserve">Sumter County handles all finances for the circuit. </t>
  </si>
  <si>
    <t xml:space="preserve">Circuit also provided a breakdown of operational expenses to include office supplies, automobile maintenance, etc (not listed in this chart). </t>
  </si>
  <si>
    <t xml:space="preserve">Circuit also provided a breakdown of other expenses - victim services, grant funded equipment (not listed in this chart). </t>
  </si>
  <si>
    <t xml:space="preserve">Expenditures for the circuit handled by Greenwood County. </t>
  </si>
  <si>
    <t xml:space="preserve">Edgefield County handles financials for "tri-county" area including Edgefield, McCormick and Saluda. </t>
  </si>
  <si>
    <t xml:space="preserve">Florence County handles all financial information for the circuit. </t>
  </si>
  <si>
    <t xml:space="preserve">County also provided a breakdown of expenditures by service provided (not listed in this chart). </t>
  </si>
  <si>
    <t xml:space="preserve">County also provided breakdown by other - program expenses; grant expenses (not listed in this chart). </t>
  </si>
  <si>
    <t>Total Expenses</t>
  </si>
  <si>
    <t>Total Revenue</t>
  </si>
  <si>
    <t>2016-17 Indigent Defense</t>
  </si>
  <si>
    <t>2016-17 Solicitor's Offices</t>
  </si>
  <si>
    <t>2015-16 Indigent Defense</t>
  </si>
  <si>
    <t xml:space="preserve">Circuit also provided breakdown of operational expenses to include office supplies, automobile maintenance, etc (not listed in this chart). </t>
  </si>
  <si>
    <t xml:space="preserve">Note: Chester county handles all finances for the circuit. </t>
  </si>
  <si>
    <t xml:space="preserve">Circuit also provided breakdown of other expenses - victim services, grant funded equipment (not listed in this chart). </t>
  </si>
  <si>
    <t xml:space="preserve">Note: Financials for 8th Circuit provided as a lump sum; no indication of which county handles finances for the circuit. </t>
  </si>
  <si>
    <t xml:space="preserve">There was no information provided by the counties or the circuit. </t>
  </si>
  <si>
    <t xml:space="preserve">County also provided breakdown of expenses by service provided (not listed in this chart). </t>
  </si>
  <si>
    <t xml:space="preserve">County also provided breakdown of other expenses - program expenses; grant expenses (not listed in this chart). </t>
  </si>
  <si>
    <t>2015-16 Solicitor's Offices</t>
  </si>
  <si>
    <t xml:space="preserve"> County Name</t>
  </si>
  <si>
    <t>Circuit</t>
  </si>
  <si>
    <t>County</t>
  </si>
  <si>
    <t>State</t>
  </si>
  <si>
    <t>Other</t>
  </si>
  <si>
    <t>Non Governmental</t>
  </si>
  <si>
    <t>Total Funding</t>
  </si>
  <si>
    <t>Other Fund Detail</t>
  </si>
  <si>
    <t>Grants</t>
  </si>
  <si>
    <t>Notes</t>
  </si>
  <si>
    <t>Calhoun</t>
  </si>
  <si>
    <t>Dorchester</t>
  </si>
  <si>
    <t>Orangeburg</t>
  </si>
  <si>
    <t>Aiken</t>
  </si>
  <si>
    <t>Bamberg</t>
  </si>
  <si>
    <t>Barnwell</t>
  </si>
  <si>
    <t>Clarendon</t>
  </si>
  <si>
    <t>Lee</t>
  </si>
  <si>
    <t>Sumter</t>
  </si>
  <si>
    <t xml:space="preserve">All revenue for the circuit handled by Sumter County. </t>
  </si>
  <si>
    <t>Williamsburg</t>
  </si>
  <si>
    <t>Chesterfield</t>
  </si>
  <si>
    <t>Darlington</t>
  </si>
  <si>
    <t>Dillon</t>
  </si>
  <si>
    <t>Marlboro</t>
  </si>
  <si>
    <t>Circuit also provided a breakdown of state funding into specific categories of funding (not listed in this chart).</t>
  </si>
  <si>
    <t xml:space="preserve"> </t>
  </si>
  <si>
    <t>Kershaw</t>
  </si>
  <si>
    <t>Richland</t>
  </si>
  <si>
    <t>Funds from New York University for a project</t>
  </si>
  <si>
    <t>Chester</t>
  </si>
  <si>
    <t>Fairfield</t>
  </si>
  <si>
    <t>Lancaster</t>
  </si>
  <si>
    <t>Cherokee</t>
  </si>
  <si>
    <t>Spartanburg</t>
  </si>
  <si>
    <t>Abbeville</t>
  </si>
  <si>
    <t>Greenwood</t>
  </si>
  <si>
    <t>Laurens</t>
  </si>
  <si>
    <t>Newberry</t>
  </si>
  <si>
    <t xml:space="preserve">Financials provided as lump sum amounts for entire circuit - not provided by county. </t>
  </si>
  <si>
    <t>Berkeley</t>
  </si>
  <si>
    <t>Charleston</t>
  </si>
  <si>
    <t>Anderson</t>
  </si>
  <si>
    <t>Oconee</t>
  </si>
  <si>
    <t>Edgefield</t>
  </si>
  <si>
    <t>Lexington</t>
  </si>
  <si>
    <t>McCormick</t>
  </si>
  <si>
    <t>Saluda</t>
  </si>
  <si>
    <t>Florence</t>
  </si>
  <si>
    <t>Marion</t>
  </si>
  <si>
    <t>Greenville</t>
  </si>
  <si>
    <t xml:space="preserve">Provided as total funding amount for each county. </t>
  </si>
  <si>
    <t>Pickens</t>
  </si>
  <si>
    <t>Allendale</t>
  </si>
  <si>
    <t>Beaufort</t>
  </si>
  <si>
    <t>Colleton</t>
  </si>
  <si>
    <t>Hampton</t>
  </si>
  <si>
    <t>Jasper</t>
  </si>
  <si>
    <t>Georgetown</t>
  </si>
  <si>
    <t>Horry</t>
  </si>
  <si>
    <t>Union</t>
  </si>
  <si>
    <t>York</t>
  </si>
  <si>
    <t>Salaries</t>
  </si>
  <si>
    <t>Employer Paid Benefits</t>
  </si>
  <si>
    <t>Auto Expense</t>
  </si>
  <si>
    <t>Non Capital Purchases Equip/Furn</t>
  </si>
  <si>
    <t>Postage</t>
  </si>
  <si>
    <t>Rent</t>
  </si>
  <si>
    <t>Utilities</t>
  </si>
  <si>
    <t>Telecom Services</t>
  </si>
  <si>
    <t xml:space="preserve"> Travel</t>
  </si>
  <si>
    <t>Case Services</t>
  </si>
  <si>
    <t>Training</t>
  </si>
  <si>
    <t>IT Services</t>
  </si>
  <si>
    <t>Employee Salaries</t>
  </si>
  <si>
    <t>Fringe</t>
  </si>
  <si>
    <t>Operating Expenses</t>
  </si>
  <si>
    <t>Circuit also provided breakdown of state funding by revenue source (i.e. DUI, conditional discharge, etc.) (not listed in this chart).</t>
  </si>
  <si>
    <t>Gideon's Promise Stipend</t>
  </si>
  <si>
    <t>Circuit also provided breakdown by revenue source (i.e. drug court, DUI, violent crime, etc.), but provided as total for the circuit and not broken down by county (not listed in this chart).</t>
  </si>
  <si>
    <t>Recoverable Court Costs</t>
  </si>
  <si>
    <t>PD Fund payments from previous years</t>
  </si>
  <si>
    <t>Solicitor Office - Drug Court</t>
  </si>
  <si>
    <t xml:space="preserve">Circuit also provided break down of revenue by service (not listed in this chart). </t>
  </si>
  <si>
    <t>2015-16 Revenue for Solicitor's Offices</t>
  </si>
  <si>
    <t>Revenue - Expenses
(Circuits showing a deficit balance used carry forward/accumulated funds from previous years to provide additional revenue)</t>
  </si>
  <si>
    <t>2015-16 Expenses for Solicitor's Offices</t>
  </si>
  <si>
    <t>2016-17 Expenses for Solicitor's Offices</t>
  </si>
  <si>
    <t>2016-17 Revenue for Solicitor's Offices</t>
  </si>
  <si>
    <t>2015-16 Revenue for Indigent Defense</t>
  </si>
  <si>
    <t>2015-16 Expenses for Indigent Defense</t>
  </si>
  <si>
    <t>Revenue - Expense</t>
  </si>
  <si>
    <t>Circuit also provided breakdown of other expenses - victim services, grant funded equipment (not listed in this chart).  Circuit may resubmitt if additional information becomes available.</t>
  </si>
  <si>
    <t>Utilizes Spartanburg County government to bank most of the revenues and expenditures.  State funding along with proceeds from the worthless check program and other diversionary efforts are submitted to Spartanburg County.  The county pays our bills.  Our office generated or submitted about $2.5 million in revenue to Spartanburg County during the 2016-17  fiscal year.  Expenditures for the Solicitor's Office and PTI added up to about $5.4 million.  The Spartanburg County General Fund covered the difference between revenues and expenditures.</t>
  </si>
  <si>
    <t>County Funds</t>
  </si>
  <si>
    <t>Municipal Funds</t>
  </si>
  <si>
    <t>Other Funds (including all diversion programs, expungement fees, or other revenue)</t>
  </si>
  <si>
    <t>State Funds</t>
  </si>
  <si>
    <t>County Name</t>
  </si>
  <si>
    <t xml:space="preserve">Federal Funds </t>
  </si>
  <si>
    <t>Other Funds</t>
  </si>
  <si>
    <t>Non Governmental Funds</t>
  </si>
  <si>
    <t>2016-17 Revenue for Indigent Defense</t>
  </si>
  <si>
    <t>2016-17 Expenses for Indigent Defense</t>
  </si>
  <si>
    <t>Federal</t>
  </si>
  <si>
    <t>Municipal</t>
  </si>
  <si>
    <t>Salaries and Benefits</t>
  </si>
  <si>
    <t>Individual Expense Groups as a % of Total Expenses</t>
  </si>
  <si>
    <t>Salaries and Fringe</t>
  </si>
  <si>
    <t>Operating</t>
  </si>
  <si>
    <t>Individual Revenue Groups as a % of Total Funding</t>
  </si>
  <si>
    <t>Entity</t>
  </si>
  <si>
    <t>Public Defenders</t>
  </si>
  <si>
    <t>Year</t>
  </si>
  <si>
    <t>2015-16</t>
  </si>
  <si>
    <t>County Names</t>
  </si>
  <si>
    <t>Calhoun, Dorchester, Orangeburg</t>
  </si>
  <si>
    <t>Aiken, Bamberg, Barnwell</t>
  </si>
  <si>
    <t>Clarendon, Lee, Sumter, Williamsburg</t>
  </si>
  <si>
    <t>Chesterfield, Darlington, Dillon, Marlboro</t>
  </si>
  <si>
    <t>Kershaw, Richland</t>
  </si>
  <si>
    <t>Chester, Fairfield, Lancaster</t>
  </si>
  <si>
    <t>Cherokee, Spartanburg</t>
  </si>
  <si>
    <t>Abbeville, Greenwood, Laurens, Newberry</t>
  </si>
  <si>
    <t>Berkeley, Charleston</t>
  </si>
  <si>
    <t>Anderson, Oconee</t>
  </si>
  <si>
    <t>Edgefield, Lexington, McCormick, Saluda</t>
  </si>
  <si>
    <t>Florence, Marion</t>
  </si>
  <si>
    <t>Greenville, Pickens</t>
  </si>
  <si>
    <t>Allendale, Beaufort, Colleton, Hampton, Jasper</t>
  </si>
  <si>
    <t>Georgetown, Horry</t>
  </si>
  <si>
    <t>Union, York</t>
  </si>
  <si>
    <t>Total FUNDING</t>
  </si>
  <si>
    <t>Total EXPENSES</t>
  </si>
  <si>
    <t>2016-17</t>
  </si>
  <si>
    <t>Solicitor's Offices</t>
  </si>
  <si>
    <t>Circuit did not provide</t>
  </si>
  <si>
    <t>Not Requested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</si>
</sst>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409]* #,##0.00_);_([$$-409]* \(#,##0.00\);_([$$-409]* &quot;-&quot;??_);_(@_)"/>
  </numFmts>
  <fonts count="12" x14ac:knownFonts="1">
    <font>
      <sz val="10"/>
      <color theme="1"/>
      <name val="Arial"/>
      <family val="2"/>
    </font>
    <font>
      <sz val="10"/>
      <color theme="1"/>
      <name val="Arial"/>
      <family val="2"/>
    </font>
    <font>
      <sz val="10"/>
      <color theme="1"/>
      <name val="Times New Roman"/>
      <family val="1"/>
    </font>
    <font>
      <b/>
      <sz val="10"/>
      <name val="Times New Roman"/>
      <family val="1"/>
    </font>
    <font>
      <b/>
      <sz val="10"/>
      <color theme="1"/>
      <name val="Times New Roman"/>
      <family val="1"/>
    </font>
    <font>
      <sz val="10"/>
      <name val="Times New Roman"/>
      <family val="1"/>
    </font>
    <font>
      <i/>
      <sz val="10"/>
      <name val="Times New Roman"/>
      <family val="1"/>
    </font>
    <font>
      <sz val="12"/>
      <color theme="1"/>
      <name val="Times New Roman"/>
      <family val="1"/>
    </font>
    <font>
      <sz val="12"/>
      <color theme="1"/>
      <name val="Arial"/>
      <family val="2"/>
    </font>
    <font>
      <sz val="12"/>
      <name val="Times New Roman"/>
      <family val="1"/>
    </font>
    <font>
      <b/>
      <sz val="12"/>
      <color theme="1"/>
      <name val="Times New Roman"/>
      <family val="1"/>
    </font>
    <font>
      <b/>
      <sz val="12"/>
      <name val="Times New Roman"/>
      <family val="1"/>
    </font>
  </fonts>
  <fills count="9">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1"/>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theme="0" tint="-0.14999847407452621"/>
        <bgColor indexed="64"/>
      </patternFill>
    </fill>
  </fills>
  <borders count="15">
    <border>
      <left/>
      <right/>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hair">
        <color auto="1"/>
      </left>
      <right style="hair">
        <color auto="1"/>
      </right>
      <top style="hair">
        <color auto="1"/>
      </top>
      <bottom style="double">
        <color indexed="64"/>
      </bottom>
      <diagonal/>
    </border>
    <border>
      <left style="hair">
        <color auto="1"/>
      </left>
      <right style="hair">
        <color auto="1"/>
      </right>
      <top style="double">
        <color indexed="64"/>
      </top>
      <bottom style="hair">
        <color auto="1"/>
      </bottom>
      <diagonal/>
    </border>
    <border>
      <left style="hair">
        <color auto="1"/>
      </left>
      <right/>
      <top/>
      <bottom/>
      <diagonal/>
    </border>
    <border>
      <left style="hair">
        <color auto="1"/>
      </left>
      <right/>
      <top/>
      <bottom style="double">
        <color indexed="64"/>
      </bottom>
      <diagonal/>
    </border>
    <border>
      <left/>
      <right/>
      <top style="double">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hair">
        <color auto="1"/>
      </left>
      <right/>
      <top style="hair">
        <color auto="1"/>
      </top>
      <bottom style="hair">
        <color auto="1"/>
      </bottom>
      <diagonal/>
    </border>
    <border>
      <left style="hair">
        <color auto="1"/>
      </left>
      <right style="hair">
        <color auto="1"/>
      </right>
      <top style="hair">
        <color auto="1"/>
      </top>
      <bottom/>
      <diagonal/>
    </border>
  </borders>
  <cellStyleXfs count="2">
    <xf numFmtId="0" fontId="0" fillId="0" borderId="0"/>
    <xf numFmtId="44" fontId="1" fillId="0" borderId="0" applyFont="0" applyFill="0" applyBorder="0" applyAlignment="0" applyProtection="0"/>
  </cellStyleXfs>
  <cellXfs count="310">
    <xf numFmtId="0" fontId="0" fillId="0" borderId="0" xfId="0"/>
    <xf numFmtId="0" fontId="2" fillId="0" borderId="0" xfId="0" applyFont="1" applyBorder="1"/>
    <xf numFmtId="0" fontId="3" fillId="0" borderId="0" xfId="0" applyFont="1" applyFill="1" applyBorder="1" applyAlignment="1">
      <alignment horizontal="center"/>
    </xf>
    <xf numFmtId="0" fontId="3" fillId="0" borderId="0" xfId="0" applyFont="1" applyFill="1" applyBorder="1" applyAlignment="1">
      <alignment horizontal="right"/>
    </xf>
    <xf numFmtId="0" fontId="2" fillId="0" borderId="0" xfId="0" applyFont="1" applyAlignment="1">
      <alignment vertical="top" wrapText="1"/>
    </xf>
    <xf numFmtId="0" fontId="2" fillId="0" borderId="0" xfId="0" applyFont="1"/>
    <xf numFmtId="44" fontId="2" fillId="0" borderId="0" xfId="0" applyNumberFormat="1" applyFont="1" applyAlignment="1">
      <alignment vertical="top" wrapText="1"/>
    </xf>
    <xf numFmtId="0" fontId="2" fillId="0" borderId="0" xfId="0" applyFont="1" applyBorder="1" applyAlignment="1">
      <alignment vertical="top"/>
    </xf>
    <xf numFmtId="0" fontId="3" fillId="0" borderId="0" xfId="0" applyFont="1" applyFill="1" applyBorder="1" applyAlignment="1">
      <alignment horizontal="right" vertical="top"/>
    </xf>
    <xf numFmtId="44" fontId="2" fillId="2" borderId="0" xfId="0" applyNumberFormat="1" applyFont="1" applyFill="1" applyAlignment="1">
      <alignment vertical="top" wrapText="1"/>
    </xf>
    <xf numFmtId="0" fontId="2" fillId="2" borderId="0" xfId="0" applyFont="1" applyFill="1" applyAlignment="1">
      <alignment vertical="top" wrapText="1"/>
    </xf>
    <xf numFmtId="0" fontId="2" fillId="5" borderId="0" xfId="0" applyFont="1" applyFill="1" applyAlignment="1">
      <alignment vertical="top" wrapText="1"/>
    </xf>
    <xf numFmtId="44" fontId="2" fillId="5" borderId="0" xfId="0" applyNumberFormat="1" applyFont="1" applyFill="1" applyAlignment="1">
      <alignment vertical="top" wrapText="1"/>
    </xf>
    <xf numFmtId="44" fontId="2" fillId="4" borderId="0" xfId="0" applyNumberFormat="1" applyFont="1" applyFill="1" applyAlignment="1">
      <alignment vertical="top" wrapText="1"/>
    </xf>
    <xf numFmtId="0" fontId="2" fillId="4" borderId="0" xfId="0" applyFont="1" applyFill="1" applyBorder="1" applyAlignment="1">
      <alignment horizontal="center"/>
    </xf>
    <xf numFmtId="0" fontId="2" fillId="5" borderId="0" xfId="0" applyFont="1" applyFill="1" applyBorder="1" applyAlignment="1">
      <alignment horizontal="center"/>
    </xf>
    <xf numFmtId="0" fontId="2" fillId="3" borderId="0" xfId="0" applyFont="1" applyFill="1" applyBorder="1" applyAlignment="1">
      <alignment horizontal="center"/>
    </xf>
    <xf numFmtId="0" fontId="3" fillId="0" borderId="4" xfId="0" applyFont="1" applyBorder="1" applyAlignment="1">
      <alignment horizontal="center" vertical="center" wrapText="1"/>
    </xf>
    <xf numFmtId="44" fontId="3" fillId="0" borderId="4" xfId="1" applyFont="1" applyBorder="1" applyAlignment="1">
      <alignment horizontal="center" vertical="center" wrapText="1"/>
    </xf>
    <xf numFmtId="3" fontId="3" fillId="0" borderId="4" xfId="0" applyNumberFormat="1" applyFont="1" applyBorder="1" applyAlignment="1">
      <alignment horizontal="center" vertical="center" wrapText="1"/>
    </xf>
    <xf numFmtId="3" fontId="3" fillId="5" borderId="4"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44" fontId="5" fillId="0" borderId="0" xfId="1" applyFont="1" applyBorder="1" applyAlignment="1">
      <alignment vertical="top" wrapText="1"/>
    </xf>
    <xf numFmtId="0" fontId="2" fillId="0" borderId="0" xfId="0" applyFont="1" applyBorder="1" applyAlignment="1">
      <alignment vertical="top" wrapText="1"/>
    </xf>
    <xf numFmtId="44" fontId="5" fillId="0" borderId="5" xfId="1" applyFont="1" applyBorder="1" applyAlignment="1">
      <alignment vertical="top" wrapText="1"/>
    </xf>
    <xf numFmtId="44" fontId="3" fillId="0" borderId="0" xfId="1" applyFont="1" applyBorder="1" applyAlignment="1">
      <alignment vertical="top" wrapText="1"/>
    </xf>
    <xf numFmtId="0" fontId="5" fillId="2" borderId="0" xfId="0" applyFont="1" applyFill="1" applyAlignment="1">
      <alignment vertical="top" wrapText="1"/>
    </xf>
    <xf numFmtId="44" fontId="5" fillId="2" borderId="0" xfId="1" applyFont="1" applyFill="1" applyBorder="1" applyAlignment="1">
      <alignment vertical="top" wrapText="1"/>
    </xf>
    <xf numFmtId="0" fontId="2" fillId="2" borderId="0" xfId="0" applyFont="1" applyFill="1" applyBorder="1" applyAlignment="1">
      <alignment vertical="top" wrapText="1"/>
    </xf>
    <xf numFmtId="0" fontId="2" fillId="0" borderId="0" xfId="0" applyFont="1" applyBorder="1" applyAlignment="1"/>
    <xf numFmtId="44" fontId="3" fillId="2" borderId="0" xfId="0" applyNumberFormat="1" applyFont="1" applyFill="1" applyBorder="1" applyAlignment="1">
      <alignment vertical="top" wrapText="1"/>
    </xf>
    <xf numFmtId="44" fontId="3" fillId="2" borderId="0" xfId="1" applyFont="1" applyFill="1" applyBorder="1" applyAlignment="1">
      <alignment vertical="top" wrapText="1"/>
    </xf>
    <xf numFmtId="0" fontId="5" fillId="0" borderId="0" xfId="0" applyFont="1" applyBorder="1" applyAlignment="1">
      <alignment vertical="top" wrapText="1"/>
    </xf>
    <xf numFmtId="44" fontId="3" fillId="0" borderId="0" xfId="0" applyNumberFormat="1" applyFont="1" applyFill="1" applyBorder="1"/>
    <xf numFmtId="44" fontId="3" fillId="0" borderId="0" xfId="0" applyNumberFormat="1" applyFont="1" applyFill="1" applyBorder="1" applyAlignment="1">
      <alignment vertical="top" wrapText="1"/>
    </xf>
    <xf numFmtId="44" fontId="2" fillId="0" borderId="0" xfId="1" applyFont="1" applyBorder="1"/>
    <xf numFmtId="44" fontId="2" fillId="4" borderId="0" xfId="1" applyFont="1" applyFill="1" applyBorder="1" applyAlignment="1">
      <alignment horizontal="center"/>
    </xf>
    <xf numFmtId="0" fontId="2" fillId="3" borderId="0" xfId="0" applyFont="1" applyFill="1" applyBorder="1" applyAlignment="1">
      <alignment horizontal="center" vertical="top" wrapText="1"/>
    </xf>
    <xf numFmtId="0" fontId="2" fillId="5" borderId="0" xfId="0" applyFont="1" applyFill="1" applyBorder="1"/>
    <xf numFmtId="0" fontId="4" fillId="0" borderId="0" xfId="0" applyFont="1" applyAlignment="1">
      <alignment vertical="center" textRotation="90" wrapText="1"/>
    </xf>
    <xf numFmtId="0" fontId="3" fillId="0" borderId="0" xfId="0" applyFont="1" applyBorder="1" applyAlignment="1">
      <alignment horizontal="center" vertical="top" wrapText="1"/>
    </xf>
    <xf numFmtId="0" fontId="2" fillId="0" borderId="0" xfId="0" applyFont="1" applyAlignment="1">
      <alignment vertical="top"/>
    </xf>
    <xf numFmtId="44" fontId="2" fillId="0" borderId="2" xfId="0" applyNumberFormat="1" applyFont="1" applyFill="1" applyBorder="1" applyAlignment="1">
      <alignment vertical="top" wrapText="1"/>
    </xf>
    <xf numFmtId="0" fontId="2" fillId="0" borderId="1" xfId="0" applyFont="1" applyFill="1" applyBorder="1" applyAlignment="1">
      <alignment vertical="top" wrapText="1"/>
    </xf>
    <xf numFmtId="0" fontId="3" fillId="0" borderId="1" xfId="0" applyFont="1" applyFill="1" applyBorder="1" applyAlignment="1">
      <alignment horizontal="center" vertical="top" wrapText="1"/>
    </xf>
    <xf numFmtId="0" fontId="3" fillId="0" borderId="1" xfId="0" applyFont="1" applyFill="1" applyBorder="1" applyAlignment="1">
      <alignment horizontal="right" vertical="top" wrapText="1"/>
    </xf>
    <xf numFmtId="44" fontId="3" fillId="0" borderId="2" xfId="1" applyFont="1" applyFill="1" applyBorder="1" applyAlignment="1">
      <alignment vertical="top" wrapText="1"/>
    </xf>
    <xf numFmtId="44" fontId="4" fillId="0" borderId="2" xfId="1" applyFont="1" applyBorder="1" applyAlignment="1">
      <alignment vertical="top" wrapText="1"/>
    </xf>
    <xf numFmtId="44" fontId="4" fillId="0" borderId="2" xfId="0" applyNumberFormat="1" applyFont="1" applyBorder="1" applyAlignment="1">
      <alignment vertical="top" wrapText="1"/>
    </xf>
    <xf numFmtId="164" fontId="4" fillId="0" borderId="2" xfId="1" applyNumberFormat="1" applyFont="1" applyBorder="1" applyAlignment="1">
      <alignment vertical="top" wrapText="1"/>
    </xf>
    <xf numFmtId="3" fontId="5" fillId="5" borderId="0" xfId="0" applyNumberFormat="1" applyFont="1" applyFill="1" applyBorder="1" applyAlignment="1">
      <alignment vertical="top" wrapText="1"/>
    </xf>
    <xf numFmtId="0" fontId="3" fillId="0" borderId="2" xfId="0" applyFont="1" applyFill="1" applyBorder="1" applyAlignment="1">
      <alignment horizontal="center" vertical="top" wrapText="1"/>
    </xf>
    <xf numFmtId="3" fontId="6" fillId="5" borderId="0" xfId="0" applyNumberFormat="1" applyFont="1" applyFill="1" applyBorder="1" applyAlignment="1">
      <alignment vertical="top" wrapText="1"/>
    </xf>
    <xf numFmtId="44" fontId="3" fillId="0" borderId="0" xfId="1" applyFont="1" applyFill="1" applyBorder="1" applyAlignment="1">
      <alignment horizontal="right"/>
    </xf>
    <xf numFmtId="44" fontId="2" fillId="0" borderId="0" xfId="1" applyFont="1" applyBorder="1" applyAlignment="1">
      <alignment vertical="center" wrapText="1"/>
    </xf>
    <xf numFmtId="0" fontId="2" fillId="0" borderId="0" xfId="0" applyFont="1" applyFill="1" applyBorder="1" applyAlignment="1">
      <alignment horizontal="center"/>
    </xf>
    <xf numFmtId="0" fontId="2" fillId="0" borderId="0" xfId="0" applyFont="1" applyFill="1" applyBorder="1"/>
    <xf numFmtId="44" fontId="2" fillId="0" borderId="0" xfId="1" applyFont="1" applyFill="1" applyBorder="1"/>
    <xf numFmtId="44" fontId="2" fillId="0" borderId="0" xfId="1" applyFont="1" applyBorder="1" applyAlignment="1">
      <alignment vertical="center"/>
    </xf>
    <xf numFmtId="44" fontId="2" fillId="0" borderId="0" xfId="1" applyFont="1" applyAlignment="1">
      <alignment vertical="center" wrapText="1"/>
    </xf>
    <xf numFmtId="44" fontId="2" fillId="0" borderId="0" xfId="1" applyFont="1"/>
    <xf numFmtId="44" fontId="2" fillId="0" borderId="0" xfId="0" applyNumberFormat="1" applyFont="1" applyBorder="1"/>
    <xf numFmtId="44" fontId="2" fillId="0" borderId="5" xfId="0" applyNumberFormat="1" applyFont="1" applyBorder="1" applyAlignment="1">
      <alignment vertical="top" wrapText="1"/>
    </xf>
    <xf numFmtId="44" fontId="4" fillId="0" borderId="0" xfId="0" applyNumberFormat="1" applyFont="1" applyBorder="1" applyAlignment="1">
      <alignment vertical="top" wrapText="1"/>
    </xf>
    <xf numFmtId="44" fontId="4" fillId="0" borderId="0" xfId="0" applyNumberFormat="1" applyFont="1" applyAlignment="1">
      <alignment vertical="top" wrapText="1"/>
    </xf>
    <xf numFmtId="0" fontId="3" fillId="0" borderId="0" xfId="0" applyFont="1" applyFill="1" applyBorder="1" applyAlignment="1">
      <alignment horizontal="right" vertical="top" wrapText="1"/>
    </xf>
    <xf numFmtId="0" fontId="2" fillId="0" borderId="0" xfId="0" applyFont="1" applyFill="1" applyBorder="1" applyAlignment="1">
      <alignment horizontal="center" vertical="top" wrapText="1"/>
    </xf>
    <xf numFmtId="3" fontId="5" fillId="0" borderId="0" xfId="0" applyNumberFormat="1" applyFont="1" applyBorder="1" applyAlignment="1">
      <alignment vertical="top" wrapText="1"/>
    </xf>
    <xf numFmtId="44" fontId="3" fillId="0" borderId="0" xfId="0" applyNumberFormat="1" applyFont="1" applyBorder="1" applyAlignment="1">
      <alignment vertical="top" wrapText="1"/>
    </xf>
    <xf numFmtId="3" fontId="5" fillId="2" borderId="0" xfId="0" applyNumberFormat="1" applyFont="1" applyFill="1" applyBorder="1" applyAlignment="1">
      <alignment vertical="top" wrapText="1"/>
    </xf>
    <xf numFmtId="3" fontId="6" fillId="0" borderId="0" xfId="0" applyNumberFormat="1" applyFont="1" applyBorder="1" applyAlignment="1">
      <alignment vertical="top" wrapText="1"/>
    </xf>
    <xf numFmtId="3" fontId="3" fillId="0" borderId="0" xfId="0" applyNumberFormat="1" applyFont="1" applyBorder="1" applyAlignment="1">
      <alignment vertical="top" wrapText="1"/>
    </xf>
    <xf numFmtId="0" fontId="5" fillId="2" borderId="0" xfId="0" applyFont="1" applyFill="1" applyBorder="1" applyAlignment="1">
      <alignment vertical="top" wrapText="1"/>
    </xf>
    <xf numFmtId="3" fontId="6" fillId="2" borderId="0" xfId="0" applyNumberFormat="1" applyFont="1" applyFill="1" applyBorder="1" applyAlignment="1">
      <alignment vertical="top" wrapText="1"/>
    </xf>
    <xf numFmtId="0" fontId="2" fillId="0" borderId="0" xfId="0" applyFont="1" applyBorder="1" applyAlignment="1">
      <alignment vertical="center" wrapText="1"/>
    </xf>
    <xf numFmtId="0" fontId="0" fillId="0" borderId="0" xfId="0" applyFont="1" applyAlignment="1">
      <alignment vertical="top" wrapText="1"/>
    </xf>
    <xf numFmtId="44" fontId="2" fillId="0" borderId="0" xfId="1" applyFont="1" applyFill="1" applyBorder="1" applyAlignment="1">
      <alignment horizontal="center"/>
    </xf>
    <xf numFmtId="0" fontId="2" fillId="0" borderId="0" xfId="0" applyFont="1" applyBorder="1" applyAlignment="1">
      <alignment horizontal="center"/>
    </xf>
    <xf numFmtId="0" fontId="0" fillId="0" borderId="0" xfId="0" applyAlignment="1">
      <alignment horizontal="center"/>
    </xf>
    <xf numFmtId="0" fontId="4" fillId="0"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2" fillId="2" borderId="1" xfId="0" applyFont="1" applyFill="1" applyBorder="1" applyAlignment="1">
      <alignment vertical="top" wrapText="1"/>
    </xf>
    <xf numFmtId="0" fontId="3" fillId="2" borderId="1" xfId="0" applyFont="1" applyFill="1" applyBorder="1" applyAlignment="1">
      <alignment horizontal="center" vertical="top" wrapText="1"/>
    </xf>
    <xf numFmtId="0" fontId="3" fillId="2" borderId="1" xfId="0" applyFont="1" applyFill="1" applyBorder="1" applyAlignment="1">
      <alignment vertical="top" wrapText="1"/>
    </xf>
    <xf numFmtId="0" fontId="5" fillId="0" borderId="1" xfId="0" applyFont="1" applyFill="1" applyBorder="1" applyAlignment="1">
      <alignment horizontal="center" vertical="top" wrapText="1"/>
    </xf>
    <xf numFmtId="0" fontId="2" fillId="0" borderId="3" xfId="0" applyFont="1" applyFill="1" applyBorder="1" applyAlignment="1">
      <alignment horizontal="center" vertical="top" wrapText="1"/>
    </xf>
    <xf numFmtId="0" fontId="2" fillId="0" borderId="3" xfId="0" applyFont="1" applyFill="1" applyBorder="1" applyAlignment="1">
      <alignment vertical="top" wrapText="1"/>
    </xf>
    <xf numFmtId="0" fontId="3" fillId="0" borderId="0" xfId="0" applyFont="1" applyFill="1" applyBorder="1" applyAlignment="1">
      <alignment horizontal="center" vertical="top" wrapText="1"/>
    </xf>
    <xf numFmtId="0" fontId="5" fillId="0" borderId="0" xfId="0" applyFont="1" applyBorder="1" applyAlignment="1">
      <alignment horizontal="center" vertical="top" wrapText="1"/>
    </xf>
    <xf numFmtId="44" fontId="3" fillId="5" borderId="0" xfId="0" applyNumberFormat="1" applyFont="1" applyFill="1" applyBorder="1" applyAlignment="1">
      <alignment vertical="top" wrapText="1"/>
    </xf>
    <xf numFmtId="0" fontId="5" fillId="2" borderId="0" xfId="0" applyFont="1" applyFill="1" applyBorder="1" applyAlignment="1">
      <alignment horizontal="center" vertical="top" wrapText="1"/>
    </xf>
    <xf numFmtId="0" fontId="5" fillId="2" borderId="0" xfId="0" applyFont="1" applyFill="1" applyAlignment="1">
      <alignment horizontal="center" vertical="top" wrapText="1"/>
    </xf>
    <xf numFmtId="0" fontId="5" fillId="5" borderId="0" xfId="0" applyFont="1" applyFill="1" applyAlignment="1">
      <alignment vertical="top" wrapText="1"/>
    </xf>
    <xf numFmtId="3" fontId="3" fillId="5" borderId="0" xfId="0" applyNumberFormat="1" applyFont="1" applyFill="1" applyBorder="1" applyAlignment="1">
      <alignment vertical="top" wrapText="1"/>
    </xf>
    <xf numFmtId="0" fontId="5" fillId="5" borderId="0" xfId="0" applyFont="1" applyFill="1" applyBorder="1" applyAlignment="1">
      <alignment vertical="top" wrapText="1"/>
    </xf>
    <xf numFmtId="0" fontId="3" fillId="2" borderId="0" xfId="0" applyFont="1" applyFill="1" applyBorder="1" applyAlignment="1">
      <alignment horizontal="center" vertical="top" wrapText="1"/>
    </xf>
    <xf numFmtId="44" fontId="2" fillId="0" borderId="1" xfId="1" applyFont="1" applyFill="1" applyBorder="1" applyAlignment="1">
      <alignment vertical="top" wrapText="1"/>
    </xf>
    <xf numFmtId="44" fontId="2" fillId="0" borderId="1" xfId="0" applyNumberFormat="1" applyFont="1" applyBorder="1" applyAlignment="1">
      <alignment vertical="top" wrapText="1"/>
    </xf>
    <xf numFmtId="164" fontId="2" fillId="0" borderId="1" xfId="1" applyNumberFormat="1" applyFont="1" applyBorder="1" applyAlignment="1">
      <alignment vertical="top" wrapText="1"/>
    </xf>
    <xf numFmtId="44" fontId="2" fillId="0" borderId="1" xfId="1" applyFont="1" applyBorder="1" applyAlignment="1">
      <alignment vertical="top" wrapText="1"/>
    </xf>
    <xf numFmtId="44" fontId="2" fillId="0" borderId="6" xfId="1" applyFont="1" applyFill="1" applyBorder="1" applyAlignment="1">
      <alignment vertical="top" wrapText="1"/>
    </xf>
    <xf numFmtId="44" fontId="2" fillId="0" borderId="6" xfId="0" applyNumberFormat="1" applyFont="1" applyBorder="1" applyAlignment="1">
      <alignment vertical="top" wrapText="1"/>
    </xf>
    <xf numFmtId="44" fontId="2" fillId="0" borderId="6" xfId="1" applyFont="1" applyBorder="1" applyAlignment="1">
      <alignment vertical="top" wrapText="1"/>
    </xf>
    <xf numFmtId="164" fontId="2" fillId="0" borderId="6" xfId="1" applyNumberFormat="1" applyFont="1" applyBorder="1" applyAlignment="1">
      <alignment vertical="top" wrapText="1"/>
    </xf>
    <xf numFmtId="44" fontId="2" fillId="2" borderId="1" xfId="1" applyFont="1" applyFill="1" applyBorder="1" applyAlignment="1">
      <alignment vertical="top" wrapText="1"/>
    </xf>
    <xf numFmtId="164" fontId="2" fillId="2" borderId="1" xfId="1" applyNumberFormat="1" applyFont="1" applyFill="1" applyBorder="1" applyAlignment="1">
      <alignment vertical="top" wrapText="1"/>
    </xf>
    <xf numFmtId="44" fontId="4" fillId="0" borderId="2" xfId="1" applyFont="1" applyFill="1" applyBorder="1" applyAlignment="1">
      <alignment vertical="top" wrapText="1"/>
    </xf>
    <xf numFmtId="44" fontId="4" fillId="0" borderId="7" xfId="0" applyNumberFormat="1" applyFont="1" applyBorder="1" applyAlignment="1">
      <alignment vertical="top" wrapText="1"/>
    </xf>
    <xf numFmtId="44" fontId="4" fillId="0" borderId="7" xfId="1" applyFont="1" applyBorder="1" applyAlignment="1">
      <alignment vertical="top" wrapText="1"/>
    </xf>
    <xf numFmtId="164" fontId="4" fillId="0" borderId="7" xfId="1" applyNumberFormat="1" applyFont="1" applyBorder="1" applyAlignment="1">
      <alignment vertical="top" wrapText="1"/>
    </xf>
    <xf numFmtId="44" fontId="5" fillId="2" borderId="1" xfId="1" applyFont="1" applyFill="1" applyBorder="1" applyAlignment="1">
      <alignment vertical="top" wrapText="1"/>
    </xf>
    <xf numFmtId="44" fontId="2" fillId="2" borderId="1" xfId="0" applyNumberFormat="1" applyFont="1" applyFill="1" applyBorder="1" applyAlignment="1">
      <alignment vertical="top" wrapText="1"/>
    </xf>
    <xf numFmtId="44" fontId="3" fillId="2" borderId="1" xfId="1" applyFont="1" applyFill="1" applyBorder="1" applyAlignment="1">
      <alignment vertical="top" wrapText="1"/>
    </xf>
    <xf numFmtId="0" fontId="4" fillId="2" borderId="1" xfId="0" applyFont="1" applyFill="1" applyBorder="1" applyAlignment="1">
      <alignment vertical="top" wrapText="1"/>
    </xf>
    <xf numFmtId="0" fontId="5" fillId="2" borderId="1" xfId="0" applyFont="1" applyFill="1" applyBorder="1" applyAlignment="1">
      <alignment horizontal="center" vertical="top" wrapText="1"/>
    </xf>
    <xf numFmtId="0" fontId="3" fillId="2" borderId="1" xfId="0" applyFont="1" applyFill="1" applyBorder="1" applyAlignment="1">
      <alignment horizontal="right" vertical="top" wrapText="1"/>
    </xf>
    <xf numFmtId="44" fontId="2" fillId="2" borderId="2" xfId="1" applyFont="1" applyFill="1" applyBorder="1" applyAlignment="1">
      <alignment vertical="top" wrapText="1"/>
    </xf>
    <xf numFmtId="44" fontId="4" fillId="2" borderId="2" xfId="0" applyNumberFormat="1" applyFont="1" applyFill="1" applyBorder="1" applyAlignment="1">
      <alignment vertical="top" wrapText="1"/>
    </xf>
    <xf numFmtId="164" fontId="2" fillId="2" borderId="2" xfId="1" applyNumberFormat="1" applyFont="1" applyFill="1" applyBorder="1" applyAlignment="1">
      <alignment vertical="top" wrapText="1"/>
    </xf>
    <xf numFmtId="44" fontId="2" fillId="0" borderId="3" xfId="1" applyFont="1" applyFill="1" applyBorder="1" applyAlignment="1">
      <alignment vertical="top" wrapText="1"/>
    </xf>
    <xf numFmtId="44" fontId="3" fillId="0" borderId="0" xfId="1" applyFont="1" applyFill="1" applyBorder="1" applyAlignment="1">
      <alignment horizontal="right" vertical="top" wrapText="1"/>
    </xf>
    <xf numFmtId="3" fontId="3" fillId="5" borderId="4" xfId="0" applyNumberFormat="1" applyFont="1" applyFill="1" applyBorder="1" applyAlignment="1">
      <alignment horizontal="center" vertical="top" wrapText="1"/>
    </xf>
    <xf numFmtId="44" fontId="5" fillId="0" borderId="5" xfId="1" applyFont="1" applyFill="1" applyBorder="1" applyAlignment="1">
      <alignment vertical="top" wrapText="1"/>
    </xf>
    <xf numFmtId="44" fontId="2" fillId="2" borderId="2" xfId="0" applyNumberFormat="1" applyFont="1" applyFill="1" applyBorder="1" applyAlignment="1">
      <alignment vertical="top" wrapText="1"/>
    </xf>
    <xf numFmtId="164" fontId="2" fillId="0" borderId="2" xfId="1" applyNumberFormat="1" applyFont="1" applyBorder="1" applyAlignment="1">
      <alignment vertical="top" wrapText="1"/>
    </xf>
    <xf numFmtId="0" fontId="2" fillId="5" borderId="0" xfId="0" applyFont="1" applyFill="1" applyBorder="1" applyAlignment="1">
      <alignment vertical="top" wrapText="1"/>
    </xf>
    <xf numFmtId="0" fontId="2" fillId="5" borderId="4" xfId="0" applyFont="1" applyFill="1" applyBorder="1"/>
    <xf numFmtId="164" fontId="4" fillId="0" borderId="4" xfId="1" applyNumberFormat="1" applyFont="1" applyBorder="1" applyAlignment="1">
      <alignment horizontal="center" vertical="center" wrapText="1"/>
    </xf>
    <xf numFmtId="3" fontId="3" fillId="5" borderId="11" xfId="0" applyNumberFormat="1" applyFont="1" applyFill="1" applyBorder="1" applyAlignment="1">
      <alignment horizontal="center" vertical="top" wrapText="1"/>
    </xf>
    <xf numFmtId="44" fontId="2" fillId="0" borderId="2" xfId="1" applyFont="1" applyFill="1" applyBorder="1" applyAlignment="1">
      <alignment vertical="top" wrapText="1"/>
    </xf>
    <xf numFmtId="44" fontId="2" fillId="0" borderId="2" xfId="0" applyNumberFormat="1" applyFont="1" applyBorder="1" applyAlignment="1">
      <alignment vertical="top" wrapText="1"/>
    </xf>
    <xf numFmtId="44" fontId="3" fillId="0" borderId="4" xfId="1" applyFont="1" applyFill="1" applyBorder="1" applyAlignment="1">
      <alignment horizontal="center" vertical="center" wrapText="1"/>
    </xf>
    <xf numFmtId="44" fontId="4" fillId="0" borderId="4" xfId="1" applyFont="1" applyBorder="1" applyAlignment="1">
      <alignment horizontal="center" vertical="center" wrapText="1"/>
    </xf>
    <xf numFmtId="0" fontId="4" fillId="0" borderId="2" xfId="0" applyFont="1" applyFill="1" applyBorder="1" applyAlignment="1">
      <alignment horizontal="center" vertical="top" wrapText="1"/>
    </xf>
    <xf numFmtId="0" fontId="2" fillId="0" borderId="2" xfId="0" applyFont="1" applyFill="1" applyBorder="1" applyAlignment="1">
      <alignment vertical="top" wrapText="1"/>
    </xf>
    <xf numFmtId="44" fontId="2" fillId="0" borderId="2" xfId="1" applyNumberFormat="1" applyFont="1" applyBorder="1" applyAlignment="1">
      <alignment vertical="top" wrapText="1"/>
    </xf>
    <xf numFmtId="0" fontId="3" fillId="0" borderId="4" xfId="0" applyFont="1" applyFill="1" applyBorder="1" applyAlignment="1">
      <alignment horizontal="center" vertical="center" textRotation="90" wrapText="1"/>
    </xf>
    <xf numFmtId="0" fontId="2" fillId="5" borderId="4" xfId="0" applyFont="1" applyFill="1" applyBorder="1" applyAlignment="1">
      <alignment vertical="center"/>
    </xf>
    <xf numFmtId="0" fontId="2" fillId="5" borderId="4" xfId="0" applyFont="1" applyFill="1" applyBorder="1" applyAlignment="1">
      <alignment vertical="center" wrapText="1"/>
    </xf>
    <xf numFmtId="0" fontId="4" fillId="5"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2" fillId="4" borderId="0" xfId="0" applyFont="1" applyFill="1" applyBorder="1" applyAlignment="1">
      <alignment horizontal="center" wrapText="1"/>
    </xf>
    <xf numFmtId="0" fontId="2" fillId="0" borderId="0" xfId="0" applyFont="1" applyBorder="1" applyAlignment="1">
      <alignment wrapText="1"/>
    </xf>
    <xf numFmtId="0" fontId="2" fillId="3" borderId="0" xfId="0" applyFont="1" applyFill="1" applyBorder="1" applyAlignment="1">
      <alignment horizontal="center" wrapText="1"/>
    </xf>
    <xf numFmtId="0" fontId="2" fillId="0" borderId="0" xfId="0" applyFont="1" applyAlignment="1">
      <alignment wrapText="1"/>
    </xf>
    <xf numFmtId="44" fontId="2" fillId="6" borderId="0" xfId="0" applyNumberFormat="1" applyFont="1" applyFill="1" applyAlignment="1">
      <alignment vertical="top" wrapText="1"/>
    </xf>
    <xf numFmtId="0" fontId="2" fillId="6" borderId="0" xfId="0" applyFont="1" applyFill="1" applyAlignment="1">
      <alignment vertical="top" wrapText="1"/>
    </xf>
    <xf numFmtId="0" fontId="3" fillId="6" borderId="1" xfId="0" applyFont="1" applyFill="1" applyBorder="1" applyAlignment="1">
      <alignment vertical="top" wrapText="1"/>
    </xf>
    <xf numFmtId="0" fontId="3" fillId="6" borderId="1" xfId="0" applyFont="1" applyFill="1" applyBorder="1" applyAlignment="1">
      <alignment horizontal="center" vertical="top" wrapText="1"/>
    </xf>
    <xf numFmtId="0" fontId="4" fillId="6" borderId="1" xfId="0" applyFont="1" applyFill="1" applyBorder="1" applyAlignment="1">
      <alignment horizontal="center" vertical="top" wrapText="1"/>
    </xf>
    <xf numFmtId="0" fontId="2" fillId="6" borderId="1" xfId="0" applyFont="1" applyFill="1" applyBorder="1" applyAlignment="1">
      <alignment vertical="top" wrapText="1"/>
    </xf>
    <xf numFmtId="44" fontId="4" fillId="5" borderId="0" xfId="0" applyNumberFormat="1" applyFont="1" applyFill="1" applyAlignment="1">
      <alignment vertical="top" wrapText="1"/>
    </xf>
    <xf numFmtId="44" fontId="5" fillId="7" borderId="0" xfId="1" applyFont="1" applyFill="1" applyBorder="1" applyAlignment="1">
      <alignment vertical="top" wrapText="1"/>
    </xf>
    <xf numFmtId="0" fontId="2" fillId="7" borderId="0" xfId="0" applyFont="1" applyFill="1" applyAlignment="1">
      <alignment vertical="top" wrapText="1"/>
    </xf>
    <xf numFmtId="44" fontId="5" fillId="7" borderId="5" xfId="1" applyFont="1" applyFill="1" applyBorder="1" applyAlignment="1">
      <alignment vertical="top" wrapText="1"/>
    </xf>
    <xf numFmtId="44" fontId="3" fillId="7" borderId="0" xfId="1" applyFont="1" applyFill="1" applyBorder="1" applyAlignment="1">
      <alignment vertical="top" wrapText="1"/>
    </xf>
    <xf numFmtId="44" fontId="5" fillId="7" borderId="8" xfId="1" applyFont="1" applyFill="1" applyBorder="1" applyAlignment="1">
      <alignment vertical="top"/>
    </xf>
    <xf numFmtId="44" fontId="5" fillId="7" borderId="0" xfId="1" applyFont="1" applyFill="1" applyBorder="1" applyAlignment="1">
      <alignment vertical="top"/>
    </xf>
    <xf numFmtId="44" fontId="5" fillId="7" borderId="9" xfId="1" applyFont="1" applyFill="1" applyBorder="1" applyAlignment="1">
      <alignment vertical="top"/>
    </xf>
    <xf numFmtId="44" fontId="5" fillId="7" borderId="5" xfId="1" applyFont="1" applyFill="1" applyBorder="1" applyAlignment="1">
      <alignment vertical="top"/>
    </xf>
    <xf numFmtId="0" fontId="5" fillId="7" borderId="0" xfId="0" applyFont="1" applyFill="1" applyBorder="1" applyAlignment="1">
      <alignment vertical="top" wrapText="1"/>
    </xf>
    <xf numFmtId="44" fontId="4" fillId="7" borderId="0" xfId="0" applyNumberFormat="1" applyFont="1" applyFill="1" applyAlignment="1">
      <alignment vertical="top" wrapText="1"/>
    </xf>
    <xf numFmtId="0" fontId="0" fillId="7" borderId="0" xfId="0" applyFill="1" applyAlignment="1">
      <alignment vertical="top"/>
    </xf>
    <xf numFmtId="0" fontId="0" fillId="7" borderId="5" xfId="0" applyFill="1" applyBorder="1" applyAlignment="1">
      <alignment vertical="top"/>
    </xf>
    <xf numFmtId="44" fontId="2" fillId="7" borderId="2" xfId="1" applyFont="1" applyFill="1" applyBorder="1" applyAlignment="1">
      <alignment vertical="top" wrapText="1"/>
    </xf>
    <xf numFmtId="44" fontId="2" fillId="7" borderId="2" xfId="0" applyNumberFormat="1" applyFont="1" applyFill="1" applyBorder="1" applyAlignment="1">
      <alignment vertical="top" wrapText="1"/>
    </xf>
    <xf numFmtId="44" fontId="2" fillId="7" borderId="1" xfId="1" applyFont="1" applyFill="1" applyBorder="1" applyAlignment="1">
      <alignment vertical="top" wrapText="1"/>
    </xf>
    <xf numFmtId="44" fontId="2" fillId="7" borderId="1" xfId="0" applyNumberFormat="1" applyFont="1" applyFill="1" applyBorder="1" applyAlignment="1">
      <alignment vertical="top" wrapText="1"/>
    </xf>
    <xf numFmtId="44" fontId="2" fillId="7" borderId="6" xfId="1" applyFont="1" applyFill="1" applyBorder="1" applyAlignment="1">
      <alignment vertical="top" wrapText="1"/>
    </xf>
    <xf numFmtId="44" fontId="2" fillId="7" borderId="6" xfId="0" applyNumberFormat="1" applyFont="1" applyFill="1" applyBorder="1" applyAlignment="1">
      <alignment vertical="top" wrapText="1"/>
    </xf>
    <xf numFmtId="44" fontId="3" fillId="7" borderId="2" xfId="1" applyFont="1" applyFill="1" applyBorder="1" applyAlignment="1">
      <alignment vertical="top" wrapText="1"/>
    </xf>
    <xf numFmtId="44" fontId="4" fillId="7" borderId="2" xfId="1" applyFont="1" applyFill="1" applyBorder="1" applyAlignment="1">
      <alignment vertical="top" wrapText="1"/>
    </xf>
    <xf numFmtId="44" fontId="4" fillId="7" borderId="2" xfId="0" applyNumberFormat="1" applyFont="1" applyFill="1" applyBorder="1" applyAlignment="1">
      <alignment vertical="top" wrapText="1"/>
    </xf>
    <xf numFmtId="44" fontId="4" fillId="7" borderId="7" xfId="0" applyNumberFormat="1" applyFont="1" applyFill="1" applyBorder="1" applyAlignment="1">
      <alignment vertical="top" wrapText="1"/>
    </xf>
    <xf numFmtId="44" fontId="2" fillId="7" borderId="3" xfId="1" applyFont="1" applyFill="1" applyBorder="1" applyAlignment="1">
      <alignment vertical="top" wrapText="1"/>
    </xf>
    <xf numFmtId="44" fontId="3" fillId="7" borderId="0" xfId="1" applyFont="1" applyFill="1" applyBorder="1" applyAlignment="1">
      <alignment horizontal="right" vertical="top" wrapText="1"/>
    </xf>
    <xf numFmtId="44" fontId="2" fillId="7" borderId="0" xfId="0" applyNumberFormat="1" applyFont="1" applyFill="1" applyAlignment="1">
      <alignment vertical="top" wrapText="1"/>
    </xf>
    <xf numFmtId="0" fontId="4" fillId="7" borderId="4" xfId="0" applyFont="1" applyFill="1" applyBorder="1" applyAlignment="1">
      <alignment horizontal="center" vertical="center" wrapText="1"/>
    </xf>
    <xf numFmtId="44" fontId="2" fillId="4" borderId="5" xfId="0" applyNumberFormat="1" applyFont="1" applyFill="1" applyBorder="1" applyAlignment="1">
      <alignment vertical="top" wrapText="1"/>
    </xf>
    <xf numFmtId="44" fontId="2" fillId="7" borderId="5" xfId="0" applyNumberFormat="1" applyFont="1" applyFill="1" applyBorder="1" applyAlignment="1">
      <alignment vertical="top" wrapText="1"/>
    </xf>
    <xf numFmtId="44" fontId="2" fillId="7" borderId="0" xfId="0" applyNumberFormat="1" applyFont="1" applyFill="1" applyBorder="1" applyAlignment="1">
      <alignment vertical="top" wrapText="1"/>
    </xf>
    <xf numFmtId="0" fontId="3" fillId="0" borderId="2" xfId="0" applyFont="1" applyFill="1" applyBorder="1" applyAlignment="1">
      <alignment horizontal="right" vertical="top" wrapText="1"/>
    </xf>
    <xf numFmtId="0" fontId="4" fillId="0" borderId="13" xfId="0" applyFont="1" applyFill="1" applyBorder="1" applyAlignment="1">
      <alignment horizontal="center" vertical="top" wrapText="1"/>
    </xf>
    <xf numFmtId="0" fontId="2" fillId="0" borderId="14" xfId="0" applyFont="1" applyFill="1" applyBorder="1" applyAlignment="1">
      <alignment vertical="top" wrapText="1"/>
    </xf>
    <xf numFmtId="0" fontId="2" fillId="0" borderId="0" xfId="0" applyFont="1" applyFill="1" applyBorder="1" applyAlignment="1">
      <alignment vertical="top" wrapText="1"/>
    </xf>
    <xf numFmtId="0" fontId="4" fillId="4" borderId="4" xfId="0" applyFont="1" applyFill="1" applyBorder="1" applyAlignment="1">
      <alignment horizontal="center" vertical="center" wrapText="1"/>
    </xf>
    <xf numFmtId="44" fontId="2" fillId="0" borderId="0" xfId="0" applyNumberFormat="1" applyFont="1" applyFill="1" applyAlignment="1">
      <alignment vertical="top" wrapText="1"/>
    </xf>
    <xf numFmtId="44" fontId="2" fillId="0" borderId="5" xfId="0" applyNumberFormat="1" applyFont="1" applyFill="1" applyBorder="1" applyAlignment="1">
      <alignment vertical="top" wrapText="1"/>
    </xf>
    <xf numFmtId="0" fontId="2" fillId="0" borderId="0" xfId="0" applyFont="1" applyFill="1" applyAlignment="1">
      <alignment vertical="top" wrapText="1"/>
    </xf>
    <xf numFmtId="44" fontId="5" fillId="4" borderId="0" xfId="1" applyFont="1" applyFill="1" applyBorder="1" applyAlignment="1">
      <alignment vertical="top" wrapText="1"/>
    </xf>
    <xf numFmtId="44" fontId="5" fillId="4" borderId="5" xfId="1" applyFont="1" applyFill="1" applyBorder="1" applyAlignment="1">
      <alignment vertical="top" wrapText="1"/>
    </xf>
    <xf numFmtId="44" fontId="3" fillId="4" borderId="0" xfId="1" applyFont="1" applyFill="1" applyBorder="1" applyAlignment="1">
      <alignment vertical="top" wrapText="1"/>
    </xf>
    <xf numFmtId="0" fontId="5" fillId="4" borderId="0" xfId="0" applyFont="1" applyFill="1" applyBorder="1" applyAlignment="1">
      <alignment vertical="top" wrapText="1"/>
    </xf>
    <xf numFmtId="44" fontId="4" fillId="4" borderId="0" xfId="0" applyNumberFormat="1" applyFont="1" applyFill="1" applyAlignment="1">
      <alignment vertical="top" wrapText="1"/>
    </xf>
    <xf numFmtId="3" fontId="5" fillId="4" borderId="0" xfId="0" applyNumberFormat="1" applyFont="1" applyFill="1" applyBorder="1" applyAlignment="1">
      <alignment vertical="top" wrapText="1"/>
    </xf>
    <xf numFmtId="44" fontId="3" fillId="4" borderId="0" xfId="0" applyNumberFormat="1" applyFont="1" applyFill="1" applyBorder="1" applyAlignment="1">
      <alignment vertical="top" wrapText="1"/>
    </xf>
    <xf numFmtId="3" fontId="3" fillId="4" borderId="0" xfId="0" applyNumberFormat="1" applyFont="1" applyFill="1" applyBorder="1" applyAlignment="1">
      <alignment vertical="top" wrapText="1"/>
    </xf>
    <xf numFmtId="10" fontId="5" fillId="4" borderId="0" xfId="1" applyNumberFormat="1" applyFont="1" applyFill="1" applyBorder="1" applyAlignment="1">
      <alignment vertical="top" wrapText="1"/>
    </xf>
    <xf numFmtId="10" fontId="5" fillId="4" borderId="5" xfId="1" applyNumberFormat="1" applyFont="1" applyFill="1" applyBorder="1" applyAlignment="1">
      <alignment vertical="top" wrapText="1"/>
    </xf>
    <xf numFmtId="10" fontId="5" fillId="2" borderId="0" xfId="0" applyNumberFormat="1" applyFont="1" applyFill="1" applyAlignment="1">
      <alignment vertical="top" wrapText="1"/>
    </xf>
    <xf numFmtId="10" fontId="5" fillId="0" borderId="0" xfId="1" applyNumberFormat="1" applyFont="1" applyFill="1" applyBorder="1" applyAlignment="1">
      <alignment vertical="top" wrapText="1"/>
    </xf>
    <xf numFmtId="10" fontId="5" fillId="0" borderId="5" xfId="1" applyNumberFormat="1" applyFont="1" applyFill="1" applyBorder="1" applyAlignment="1">
      <alignment vertical="top" wrapText="1"/>
    </xf>
    <xf numFmtId="44" fontId="4" fillId="0" borderId="0" xfId="0" applyNumberFormat="1" applyFont="1" applyFill="1" applyAlignment="1">
      <alignment vertical="top" wrapText="1"/>
    </xf>
    <xf numFmtId="3" fontId="3" fillId="0" borderId="4" xfId="0" applyNumberFormat="1" applyFont="1" applyFill="1" applyBorder="1" applyAlignment="1">
      <alignment horizontal="center" vertical="center" wrapText="1"/>
    </xf>
    <xf numFmtId="10" fontId="5" fillId="0" borderId="0" xfId="1" applyNumberFormat="1" applyFont="1" applyFill="1" applyBorder="1" applyAlignment="1">
      <alignment vertical="top"/>
    </xf>
    <xf numFmtId="10" fontId="5" fillId="0" borderId="5" xfId="1" applyNumberFormat="1" applyFont="1" applyFill="1" applyBorder="1" applyAlignment="1">
      <alignment vertical="top"/>
    </xf>
    <xf numFmtId="10" fontId="2" fillId="0" borderId="0" xfId="0" applyNumberFormat="1" applyFont="1" applyFill="1" applyBorder="1"/>
    <xf numFmtId="10" fontId="5" fillId="0" borderId="0" xfId="0" applyNumberFormat="1" applyFont="1" applyFill="1" applyBorder="1" applyAlignment="1">
      <alignment vertical="top" wrapText="1"/>
    </xf>
    <xf numFmtId="10" fontId="3" fillId="0" borderId="0" xfId="0" applyNumberFormat="1" applyFont="1" applyFill="1" applyBorder="1" applyAlignment="1">
      <alignment vertical="top" wrapText="1"/>
    </xf>
    <xf numFmtId="10" fontId="5" fillId="0" borderId="4" xfId="0" applyNumberFormat="1" applyFont="1" applyFill="1" applyBorder="1" applyAlignment="1">
      <alignment horizontal="center" vertical="center" wrapText="1"/>
    </xf>
    <xf numFmtId="10" fontId="5" fillId="0" borderId="0" xfId="1" applyNumberFormat="1" applyFont="1" applyFill="1" applyBorder="1" applyAlignment="1">
      <alignment horizontal="center" vertical="top" wrapText="1"/>
    </xf>
    <xf numFmtId="10" fontId="5" fillId="0" borderId="5" xfId="1" applyNumberFormat="1" applyFont="1" applyFill="1" applyBorder="1" applyAlignment="1">
      <alignment horizontal="center" vertical="top" wrapText="1"/>
    </xf>
    <xf numFmtId="10" fontId="0" fillId="0" borderId="0" xfId="0" applyNumberFormat="1" applyFont="1" applyFill="1" applyAlignment="1">
      <alignment vertical="top"/>
    </xf>
    <xf numFmtId="10" fontId="0" fillId="0" borderId="5" xfId="0" applyNumberFormat="1" applyFont="1" applyFill="1" applyBorder="1" applyAlignment="1">
      <alignment vertical="top"/>
    </xf>
    <xf numFmtId="3" fontId="5" fillId="0" borderId="0" xfId="0" applyNumberFormat="1" applyFont="1" applyFill="1" applyBorder="1" applyAlignment="1">
      <alignment vertical="top" wrapText="1"/>
    </xf>
    <xf numFmtId="3" fontId="6" fillId="0" borderId="0" xfId="0" applyNumberFormat="1" applyFont="1" applyFill="1" applyBorder="1" applyAlignment="1">
      <alignment vertical="top" wrapText="1"/>
    </xf>
    <xf numFmtId="3" fontId="3" fillId="0" borderId="0" xfId="0" applyNumberFormat="1" applyFont="1" applyFill="1" applyBorder="1" applyAlignment="1">
      <alignment vertical="top" wrapText="1"/>
    </xf>
    <xf numFmtId="10" fontId="6" fillId="0" borderId="0" xfId="0" applyNumberFormat="1" applyFont="1" applyFill="1" applyBorder="1" applyAlignment="1">
      <alignment vertical="top" wrapText="1"/>
    </xf>
    <xf numFmtId="44" fontId="5" fillId="2" borderId="0" xfId="0" applyNumberFormat="1" applyFont="1" applyFill="1" applyBorder="1" applyAlignment="1">
      <alignment vertical="top" wrapText="1"/>
    </xf>
    <xf numFmtId="10" fontId="2" fillId="0" borderId="4" xfId="1" applyNumberFormat="1" applyFont="1" applyBorder="1" applyAlignment="1">
      <alignment horizontal="center" vertical="center" wrapText="1"/>
    </xf>
    <xf numFmtId="3" fontId="3" fillId="5" borderId="0" xfId="0" applyNumberFormat="1" applyFont="1" applyFill="1" applyBorder="1" applyAlignment="1">
      <alignment horizontal="center" vertical="top" wrapText="1"/>
    </xf>
    <xf numFmtId="0" fontId="0" fillId="0" borderId="0" xfId="0" applyFill="1"/>
    <xf numFmtId="0" fontId="2" fillId="0" borderId="4" xfId="0" applyFont="1" applyFill="1" applyBorder="1" applyAlignment="1">
      <alignment vertical="center"/>
    </xf>
    <xf numFmtId="0" fontId="2" fillId="0" borderId="4" xfId="0" applyFont="1" applyFill="1" applyBorder="1" applyAlignment="1">
      <alignment horizontal="center" vertical="center"/>
    </xf>
    <xf numFmtId="0" fontId="7" fillId="0" borderId="4" xfId="0" applyFont="1" applyBorder="1" applyAlignment="1">
      <alignment vertical="top" wrapText="1"/>
    </xf>
    <xf numFmtId="10" fontId="7" fillId="0" borderId="4" xfId="0" applyNumberFormat="1" applyFont="1" applyBorder="1" applyAlignment="1">
      <alignment vertical="top" wrapText="1"/>
    </xf>
    <xf numFmtId="44" fontId="7" fillId="0" borderId="0" xfId="0" applyNumberFormat="1" applyFont="1" applyAlignment="1">
      <alignment vertical="top" wrapText="1"/>
    </xf>
    <xf numFmtId="10" fontId="7" fillId="0" borderId="0" xfId="0" applyNumberFormat="1" applyFont="1" applyAlignment="1">
      <alignment vertical="top" wrapText="1"/>
    </xf>
    <xf numFmtId="0" fontId="7" fillId="0" borderId="0" xfId="0" applyFont="1" applyAlignment="1">
      <alignment vertical="top" wrapText="1"/>
    </xf>
    <xf numFmtId="49" fontId="7" fillId="0" borderId="4" xfId="0" applyNumberFormat="1" applyFont="1" applyBorder="1" applyAlignment="1">
      <alignment vertical="top" wrapText="1"/>
    </xf>
    <xf numFmtId="0" fontId="7" fillId="0" borderId="0" xfId="0" applyFont="1" applyBorder="1" applyAlignment="1">
      <alignment vertical="top" wrapText="1"/>
    </xf>
    <xf numFmtId="0" fontId="9" fillId="8" borderId="4" xfId="0" applyFont="1" applyFill="1" applyBorder="1" applyAlignment="1">
      <alignment horizontal="right" vertical="top" wrapText="1"/>
    </xf>
    <xf numFmtId="0" fontId="7" fillId="0" borderId="4" xfId="0" applyFont="1" applyBorder="1" applyAlignment="1">
      <alignment horizontal="center" vertical="top" wrapText="1"/>
    </xf>
    <xf numFmtId="0" fontId="10" fillId="0" borderId="4" xfId="0" applyFont="1" applyBorder="1" applyAlignment="1">
      <alignment horizontal="center" vertical="top" wrapText="1"/>
    </xf>
    <xf numFmtId="44" fontId="7" fillId="8" borderId="4" xfId="0" applyNumberFormat="1" applyFont="1" applyFill="1" applyBorder="1" applyAlignment="1">
      <alignment horizontal="right" vertical="center" wrapText="1"/>
    </xf>
    <xf numFmtId="10" fontId="7" fillId="8" borderId="4" xfId="0" applyNumberFormat="1" applyFont="1" applyFill="1" applyBorder="1" applyAlignment="1">
      <alignment horizontal="right" vertical="top" wrapText="1"/>
    </xf>
    <xf numFmtId="0" fontId="10" fillId="5" borderId="4" xfId="0" applyFont="1" applyFill="1" applyBorder="1" applyAlignment="1">
      <alignment horizontal="center" vertical="top" wrapText="1"/>
    </xf>
    <xf numFmtId="0" fontId="10" fillId="5" borderId="4" xfId="0" applyFont="1" applyFill="1" applyBorder="1" applyAlignment="1">
      <alignment horizontal="right" vertical="top" wrapText="1"/>
    </xf>
    <xf numFmtId="0" fontId="7" fillId="5" borderId="4" xfId="0" applyFont="1" applyFill="1" applyBorder="1" applyAlignment="1">
      <alignment horizontal="right" vertical="top" wrapText="1"/>
    </xf>
    <xf numFmtId="0" fontId="7" fillId="8" borderId="4" xfId="0" applyFont="1" applyFill="1" applyBorder="1" applyAlignment="1">
      <alignment horizontal="right"/>
    </xf>
    <xf numFmtId="0" fontId="7" fillId="0" borderId="4" xfId="0" applyFont="1" applyBorder="1"/>
    <xf numFmtId="0" fontId="10" fillId="0" borderId="4" xfId="0" applyFont="1" applyBorder="1"/>
    <xf numFmtId="10" fontId="7" fillId="8" borderId="4" xfId="0" applyNumberFormat="1" applyFont="1" applyFill="1" applyBorder="1" applyAlignment="1">
      <alignment horizontal="right" vertical="center"/>
    </xf>
    <xf numFmtId="0" fontId="10" fillId="5" borderId="4" xfId="0" applyFont="1" applyFill="1" applyBorder="1" applyAlignment="1">
      <alignment horizontal="right"/>
    </xf>
    <xf numFmtId="0" fontId="7" fillId="5" borderId="4" xfId="0" applyFont="1" applyFill="1" applyBorder="1" applyAlignment="1">
      <alignment horizontal="right"/>
    </xf>
    <xf numFmtId="0" fontId="7" fillId="8" borderId="4" xfId="0" applyFont="1" applyFill="1" applyBorder="1" applyAlignment="1">
      <alignment horizontal="right" vertical="top" wrapText="1"/>
    </xf>
    <xf numFmtId="0" fontId="8" fillId="0" borderId="0" xfId="0" applyFont="1" applyBorder="1" applyAlignment="1">
      <alignment wrapText="1"/>
    </xf>
    <xf numFmtId="0" fontId="8" fillId="0" borderId="0" xfId="0" applyFont="1" applyAlignment="1">
      <alignment wrapText="1"/>
    </xf>
    <xf numFmtId="0" fontId="9" fillId="8" borderId="4" xfId="0" applyFont="1" applyFill="1" applyBorder="1" applyAlignment="1">
      <alignment horizontal="right" vertical="center" wrapText="1"/>
    </xf>
    <xf numFmtId="0" fontId="11" fillId="0" borderId="4" xfId="0" applyFont="1" applyBorder="1" applyAlignment="1">
      <alignment horizontal="center" vertical="center" wrapText="1"/>
    </xf>
    <xf numFmtId="0" fontId="7" fillId="0" borderId="4" xfId="0" applyFont="1" applyBorder="1" applyAlignment="1">
      <alignment horizontal="center" wrapText="1"/>
    </xf>
    <xf numFmtId="0" fontId="10" fillId="0" borderId="4" xfId="0" applyFont="1" applyBorder="1" applyAlignment="1">
      <alignment vertical="center" wrapText="1"/>
    </xf>
    <xf numFmtId="0" fontId="7" fillId="0" borderId="4" xfId="0" applyFont="1" applyBorder="1" applyAlignment="1">
      <alignment horizontal="center" vertical="center" wrapText="1"/>
    </xf>
    <xf numFmtId="44" fontId="9" fillId="8" borderId="4" xfId="0" applyNumberFormat="1" applyFont="1" applyFill="1" applyBorder="1" applyAlignment="1">
      <alignment horizontal="right" vertical="center" wrapText="1"/>
    </xf>
    <xf numFmtId="44" fontId="9" fillId="8" borderId="4" xfId="1" applyNumberFormat="1" applyFont="1" applyFill="1" applyBorder="1" applyAlignment="1">
      <alignment horizontal="right" vertical="center" wrapText="1"/>
    </xf>
    <xf numFmtId="0" fontId="7" fillId="5" borderId="4" xfId="0" applyFont="1" applyFill="1" applyBorder="1" applyAlignment="1">
      <alignment horizontal="right" wrapText="1"/>
    </xf>
    <xf numFmtId="0" fontId="10" fillId="5" borderId="4" xfId="0" applyFont="1" applyFill="1" applyBorder="1" applyAlignment="1">
      <alignment horizontal="right" wrapText="1"/>
    </xf>
    <xf numFmtId="0" fontId="8" fillId="0" borderId="0" xfId="0" applyFont="1" applyAlignment="1">
      <alignment horizontal="right" wrapText="1"/>
    </xf>
    <xf numFmtId="44" fontId="10" fillId="4" borderId="4" xfId="0" applyNumberFormat="1" applyFont="1" applyFill="1" applyBorder="1" applyAlignment="1">
      <alignment horizontal="right" vertical="top" wrapText="1"/>
    </xf>
    <xf numFmtId="44" fontId="7" fillId="4" borderId="4" xfId="0" applyNumberFormat="1" applyFont="1" applyFill="1" applyBorder="1" applyAlignment="1">
      <alignment horizontal="right" vertical="top" wrapText="1"/>
    </xf>
    <xf numFmtId="10" fontId="10" fillId="4" borderId="4" xfId="0" applyNumberFormat="1" applyFont="1" applyFill="1" applyBorder="1" applyAlignment="1">
      <alignment horizontal="right" vertical="top" wrapText="1"/>
    </xf>
    <xf numFmtId="10" fontId="7" fillId="4" borderId="4" xfId="0" applyNumberFormat="1" applyFont="1" applyFill="1" applyBorder="1" applyAlignment="1">
      <alignment horizontal="right" vertical="top" wrapText="1"/>
    </xf>
    <xf numFmtId="44" fontId="10" fillId="7" borderId="4" xfId="0" applyNumberFormat="1" applyFont="1" applyFill="1" applyBorder="1" applyAlignment="1">
      <alignment horizontal="right" vertical="top" wrapText="1"/>
    </xf>
    <xf numFmtId="44" fontId="7" fillId="7" borderId="4" xfId="0" applyNumberFormat="1" applyFont="1" applyFill="1" applyBorder="1" applyAlignment="1">
      <alignment horizontal="right" vertical="top" wrapText="1"/>
    </xf>
    <xf numFmtId="10" fontId="10" fillId="7" borderId="4" xfId="0" applyNumberFormat="1" applyFont="1" applyFill="1" applyBorder="1" applyAlignment="1">
      <alignment vertical="top" wrapText="1"/>
    </xf>
    <xf numFmtId="10" fontId="7" fillId="7" borderId="4" xfId="0" applyNumberFormat="1" applyFont="1" applyFill="1" applyBorder="1" applyAlignment="1">
      <alignment vertical="top" wrapText="1"/>
    </xf>
    <xf numFmtId="44" fontId="10" fillId="4" borderId="4" xfId="0" applyNumberFormat="1" applyFont="1" applyFill="1" applyBorder="1" applyAlignment="1">
      <alignment horizontal="right" vertical="center" wrapText="1"/>
    </xf>
    <xf numFmtId="44" fontId="7" fillId="4" borderId="4" xfId="0" applyNumberFormat="1" applyFont="1" applyFill="1" applyBorder="1" applyAlignment="1">
      <alignment horizontal="right" vertical="center" wrapText="1"/>
    </xf>
    <xf numFmtId="10" fontId="10" fillId="4" borderId="4" xfId="0" applyNumberFormat="1" applyFont="1" applyFill="1" applyBorder="1" applyAlignment="1">
      <alignment horizontal="right" vertical="center"/>
    </xf>
    <xf numFmtId="10" fontId="7" fillId="4" borderId="4" xfId="0" applyNumberFormat="1" applyFont="1" applyFill="1" applyBorder="1" applyAlignment="1">
      <alignment horizontal="right" vertical="center"/>
    </xf>
    <xf numFmtId="44" fontId="10" fillId="7" borderId="4" xfId="0" applyNumberFormat="1" applyFont="1" applyFill="1" applyBorder="1" applyAlignment="1">
      <alignment horizontal="right" vertical="center" wrapText="1"/>
    </xf>
    <xf numFmtId="44" fontId="7" fillId="7" borderId="4" xfId="0" applyNumberFormat="1" applyFont="1" applyFill="1" applyBorder="1" applyAlignment="1">
      <alignment horizontal="right" vertical="center" wrapText="1"/>
    </xf>
    <xf numFmtId="10" fontId="10" fillId="7" borderId="4" xfId="0" applyNumberFormat="1" applyFont="1" applyFill="1" applyBorder="1" applyAlignment="1">
      <alignment vertical="center"/>
    </xf>
    <xf numFmtId="10" fontId="7" fillId="7" borderId="4" xfId="0" applyNumberFormat="1" applyFont="1" applyFill="1" applyBorder="1" applyAlignment="1">
      <alignment vertical="center"/>
    </xf>
    <xf numFmtId="44" fontId="10" fillId="4" borderId="4" xfId="0" applyNumberFormat="1" applyFont="1" applyFill="1" applyBorder="1" applyAlignment="1">
      <alignment horizontal="right" wrapText="1"/>
    </xf>
    <xf numFmtId="44" fontId="7" fillId="4" borderId="4" xfId="0" applyNumberFormat="1" applyFont="1" applyFill="1" applyBorder="1" applyAlignment="1">
      <alignment horizontal="right" wrapText="1"/>
    </xf>
    <xf numFmtId="10" fontId="10" fillId="4" borderId="4" xfId="0" applyNumberFormat="1" applyFont="1" applyFill="1" applyBorder="1" applyAlignment="1">
      <alignment horizontal="right" wrapText="1"/>
    </xf>
    <xf numFmtId="10" fontId="7" fillId="4" borderId="4" xfId="0" applyNumberFormat="1" applyFont="1" applyFill="1" applyBorder="1" applyAlignment="1">
      <alignment horizontal="right" wrapText="1"/>
    </xf>
    <xf numFmtId="44" fontId="10" fillId="7" borderId="4" xfId="0" applyNumberFormat="1" applyFont="1" applyFill="1" applyBorder="1" applyAlignment="1">
      <alignment horizontal="right" wrapText="1"/>
    </xf>
    <xf numFmtId="44" fontId="7" fillId="7" borderId="4" xfId="0" applyNumberFormat="1" applyFont="1" applyFill="1" applyBorder="1" applyAlignment="1">
      <alignment horizontal="right" wrapText="1"/>
    </xf>
    <xf numFmtId="10" fontId="10" fillId="7" borderId="4" xfId="0" applyNumberFormat="1" applyFont="1" applyFill="1" applyBorder="1" applyAlignment="1">
      <alignment wrapText="1"/>
    </xf>
    <xf numFmtId="10" fontId="7" fillId="7" borderId="4" xfId="0" applyNumberFormat="1" applyFont="1" applyFill="1" applyBorder="1" applyAlignment="1">
      <alignment wrapText="1"/>
    </xf>
    <xf numFmtId="0" fontId="7" fillId="0" borderId="12" xfId="0" applyFont="1" applyFill="1" applyBorder="1" applyAlignment="1">
      <alignment horizontal="center" vertical="center" wrapText="1"/>
    </xf>
    <xf numFmtId="0" fontId="8" fillId="0" borderId="12" xfId="0" applyFont="1" applyFill="1" applyBorder="1" applyAlignment="1">
      <alignment vertical="center" wrapText="1"/>
    </xf>
    <xf numFmtId="0" fontId="0" fillId="0" borderId="12" xfId="0" applyFill="1" applyBorder="1" applyAlignment="1">
      <alignment vertical="center" wrapText="1"/>
    </xf>
    <xf numFmtId="0" fontId="2" fillId="4" borderId="0" xfId="0" applyFont="1" applyFill="1" applyBorder="1" applyAlignment="1">
      <alignment horizontal="center" vertical="top" wrapText="1"/>
    </xf>
    <xf numFmtId="0" fontId="0" fillId="4" borderId="0" xfId="0" applyFill="1" applyBorder="1" applyAlignment="1">
      <alignment horizontal="center" vertical="top" wrapText="1"/>
    </xf>
    <xf numFmtId="0" fontId="2" fillId="7" borderId="0" xfId="0" applyFont="1" applyFill="1" applyBorder="1" applyAlignment="1">
      <alignment horizontal="center" vertical="top" wrapText="1"/>
    </xf>
    <xf numFmtId="0" fontId="0" fillId="7" borderId="0" xfId="0" applyFill="1" applyBorder="1" applyAlignment="1">
      <alignment horizontal="center" vertical="top" wrapText="1"/>
    </xf>
    <xf numFmtId="0" fontId="2" fillId="0" borderId="12" xfId="0" applyFont="1" applyFill="1" applyBorder="1" applyAlignment="1">
      <alignment horizontal="center" vertical="center" wrapText="1"/>
    </xf>
    <xf numFmtId="0" fontId="0" fillId="0" borderId="12" xfId="0" applyBorder="1" applyAlignment="1">
      <alignment horizontal="center" vertical="center" wrapText="1"/>
    </xf>
    <xf numFmtId="0" fontId="2" fillId="0" borderId="12" xfId="0" applyFont="1" applyFill="1" applyBorder="1" applyAlignment="1">
      <alignment horizontal="center" vertical="center"/>
    </xf>
    <xf numFmtId="0" fontId="0" fillId="0" borderId="12" xfId="0" applyBorder="1" applyAlignment="1">
      <alignment horizontal="center" vertical="center"/>
    </xf>
    <xf numFmtId="0" fontId="2" fillId="0" borderId="12" xfId="0" applyFont="1" applyFill="1" applyBorder="1" applyAlignment="1">
      <alignment vertical="center"/>
    </xf>
    <xf numFmtId="0" fontId="0" fillId="0" borderId="12" xfId="0" applyBorder="1" applyAlignment="1">
      <alignment vertical="center"/>
    </xf>
    <xf numFmtId="44" fontId="5" fillId="4" borderId="5" xfId="1" applyFont="1" applyFill="1" applyBorder="1" applyAlignment="1">
      <alignment horizontal="center" vertical="top" wrapText="1"/>
    </xf>
    <xf numFmtId="44" fontId="3" fillId="4" borderId="10" xfId="1" applyFont="1" applyFill="1" applyBorder="1" applyAlignment="1">
      <alignment horizontal="center" vertical="top" wrapText="1"/>
    </xf>
    <xf numFmtId="44" fontId="5" fillId="4" borderId="0" xfId="1" applyFont="1" applyFill="1" applyBorder="1" applyAlignment="1">
      <alignment horizontal="center" vertical="top" wrapText="1"/>
    </xf>
    <xf numFmtId="44" fontId="2" fillId="7" borderId="0" xfId="1" applyFont="1" applyFill="1" applyBorder="1" applyAlignment="1">
      <alignment horizontal="center"/>
    </xf>
    <xf numFmtId="0" fontId="0" fillId="7" borderId="0" xfId="0" applyFill="1" applyBorder="1" applyAlignment="1">
      <alignment horizontal="center"/>
    </xf>
    <xf numFmtId="0" fontId="2" fillId="0" borderId="12" xfId="0" applyFont="1" applyFill="1" applyBorder="1" applyAlignment="1">
      <alignment horizontal="center"/>
    </xf>
    <xf numFmtId="0" fontId="0" fillId="0" borderId="12" xfId="0" applyFont="1" applyBorder="1" applyAlignment="1">
      <alignment horizontal="center"/>
    </xf>
    <xf numFmtId="10" fontId="2" fillId="0" borderId="12" xfId="0" applyNumberFormat="1" applyFont="1" applyFill="1" applyBorder="1" applyAlignment="1">
      <alignment horizontal="center"/>
    </xf>
    <xf numFmtId="10" fontId="0" fillId="0" borderId="12" xfId="0" applyNumberFormat="1" applyFont="1" applyBorder="1" applyAlignment="1">
      <alignment horizontal="center"/>
    </xf>
    <xf numFmtId="0" fontId="0" fillId="0" borderId="12" xfId="0" applyBorder="1" applyAlignment="1">
      <alignment horizontal="center"/>
    </xf>
    <xf numFmtId="44" fontId="5" fillId="0" borderId="8" xfId="1" applyFont="1" applyBorder="1" applyAlignment="1">
      <alignment horizontal="center" vertical="top" wrapText="1"/>
    </xf>
    <xf numFmtId="44" fontId="5" fillId="0" borderId="0" xfId="1" applyFont="1" applyBorder="1" applyAlignment="1">
      <alignment horizontal="center" vertical="top" wrapText="1"/>
    </xf>
    <xf numFmtId="44" fontId="5" fillId="0" borderId="9" xfId="1" applyFont="1" applyBorder="1" applyAlignment="1">
      <alignment horizontal="center" vertical="top" wrapText="1"/>
    </xf>
    <xf numFmtId="44" fontId="5" fillId="0" borderId="5" xfId="1" applyFont="1" applyBorder="1" applyAlignment="1">
      <alignment horizontal="center" vertical="top" wrapText="1"/>
    </xf>
    <xf numFmtId="44" fontId="3" fillId="0" borderId="10" xfId="1" applyFont="1" applyBorder="1" applyAlignment="1">
      <alignment horizontal="center"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Startup" Target="ciddata/users$/rgrizzle/Desktop/PD%20Reports%20Proviso%20117.110/Proviso%20117.110%20FY16%20Revenue%20&amp;%20Expenditure%20Reports/1st%20CIRCUIT%20-%20PD%20Revenue%20&amp;%20Expenditure%20Detail.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Startup" Target="ciddata/users$/rgrizzle/Desktop/PD%20Reports%20Proviso%20117.110/Proviso%20117.110%20FY16%20Revenue%20&amp;%20Expenditure%20Reports/10th%20CIRCUIT%20-%20PD%20Revenue%20&amp;%20Expenditure%20Detail.xlsx"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Startup" Target="ciddata/users$/rgrizzle/Desktop/PD%20Reports%20Proviso%20117.110/Proviso%20117.110%20FY16%20Revenue%20&amp;%20Expenditure%20Reports/11th%20CIRCUIT%20-%20PD%20Revenue%20&amp;%20Expenditure%20Detail.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Startup" Target="ciddata/users$/rgrizzle/Desktop/PD%20Reports%20Proviso%20117.110/Proviso%20117.110%20FY16%20Revenue%20&amp;%20Expenditure%20Reports/12th%20CIRCUIT%20-%20PD%20Revenue%20&amp;%20Expenditure%20Detail.xlsx"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Startup" Target="ciddata/users$/rgrizzle/Desktop/PD%20Reports%20Proviso%20117.110/Proviso%20117.110%20FY16%20Revenue%20&amp;%20Expenditure%20Reports/13th%20CIRCUIT%20-%20PD%20Revenue%20&amp;%20Expenditure%20Detail.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Startup" Target="ciddata/users$/rgrizzle/Desktop/PD%20Reports%20Proviso%20117.110/Proviso%20117.110%20FY16%20Revenue%20&amp;%20Expenditure%20Reports/14th%20CIRCUIT%20-%20PD%20Revenue%20&amp;%20Expenditure%20Detail.xlsx"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Startup" Target="ciddata/users$/rgrizzle/Desktop/PD%20Reports%20Proviso%20117.110/Proviso%20117.110%20FY16%20Revenue%20&amp;%20Expenditure%20Reports/15th%20CIRCUIT%20-%20PD%20Revenue%20&amp;%20Expenditure%20Detail.xlsx"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Startup" Target="ciddata/users$/rgrizzle/Desktop/PD%20Reports%20Proviso%20117.110/Proviso%20117.110%20FY16%20Revenue%20&amp;%20Expenditure%20Reports/16th%20CIRCUIT%20-%20PD%20Revenue%20&amp;%20Expenditure%20Detail.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charlesappleby\AppData\Local\Microsoft\Windows\Temporary%20Internet%20Files\Content.Outlook\8R0F6XUZ\Proviso%20117.110%20Revenue%20Report%20Summary.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Startup" Target="ciddata/users$/rgrizzle/Desktop/PD%20Reports%20Proviso%20117.110/Proviso%20117.110%20FY16%20Revenue%20&amp;%20Expenditure%20Reports/2nd%20CIRCUIT%20-%20PD%20Revenue%20&amp;%20Expenditure%20Detail.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Startup" Target="ciddata/users$/rgrizzle/Desktop/PD%20Reports%20Proviso%20117.110/Proviso%20117.110%20FY16%20Revenue%20&amp;%20Expenditure%20Reports/3rd%20CIRCUIT%20-%20PD%20Revenue%20&amp;%20Expenditure%20Detail.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Startup" Target="ciddata/users$/rgrizzle/Desktop/PD%20Reports%20Proviso%20117.110/Proviso%20117.110%20FY16%20Revenue%20&amp;%20Expenditure%20Reports/4th%20CIRCUIT%20-%20PD%20Revenue%20&amp;%20Expenditure%20Detail.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Startup" Target="ciddata/users$/rgrizzle/Desktop/PD%20Reports%20Proviso%20117.110/Proviso%20117.110%20FY16%20Revenue%20&amp;%20Expenditure%20Reports/5th%20CIRCUIT%20-%20PD%20Revenue%20&amp;%20Expenditure%20Detail.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Startup" Target="ciddata/users$/rgrizzle/Desktop/PD%20Reports%20Proviso%20117.110/Proviso%20117.110%20FY16%20Revenue%20&amp;%20Expenditure%20Reports/6th%20CIRCUIT%20-%20PD%20Revenue%20&amp;%20Expenditure%20Detail.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Startup" Target="ciddata/users$/rgrizzle/Desktop/PD%20Reports%20Proviso%20117.110/Proviso%20117.110%20FY16%20Revenue%20&amp;%20Expenditure%20Reports/7th%20CIRCUIT%20-%20PD%20Revenue%20&amp;%20Expenditure%20Detail.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Startup" Target="ciddata/users$/rgrizzle/Desktop/PD%20Reports%20Proviso%20117.110/Proviso%20117.110%20FY16%20Revenue%20&amp;%20Expenditure%20Reports/8th%20CIRCUIT%20-%20PD%20Revenue%20&amp;%20Expenditure%20Detail.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Startup" Target="ciddata/users$/rgrizzle/Desktop/PD%20Reports%20Proviso%20117.110/Proviso%20117.110%20FY16%20Revenue%20&amp;%20Expenditure%20Reports/9th%20CIRCUIT%20-%20PD%20Revenue%20&amp;%20Expenditure%20Detai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houn Revenue"/>
      <sheetName val="Calhoun Expenditures"/>
      <sheetName val="Dorchester Revenue "/>
      <sheetName val="Dorchester Expenditures"/>
      <sheetName val="Orangeburg Revenue "/>
      <sheetName val="Orangeburg Expenditures"/>
      <sheetName val="Total 1st Circuit Revenue"/>
      <sheetName val="Total 1st Circuit Expenditures"/>
      <sheetName val="Sheet3"/>
    </sheetNames>
    <sheetDataSet>
      <sheetData sheetId="0" refreshError="1">
        <row r="3">
          <cell r="B3">
            <v>38681.19</v>
          </cell>
        </row>
        <row r="11">
          <cell r="B11">
            <v>32000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derson Revenue"/>
      <sheetName val="Anderson Expenditures"/>
      <sheetName val="Oconee Revenue "/>
      <sheetName val="Oconee Expenditures"/>
      <sheetName val="Total 10th Circuit Revenue"/>
      <sheetName val="Total 10th Circuit Expenditures"/>
      <sheetName val="Sheet3"/>
    </sheetNames>
    <sheetDataSet>
      <sheetData sheetId="0" refreshError="1">
        <row r="3">
          <cell r="B3">
            <v>476984.64</v>
          </cell>
        </row>
        <row r="11">
          <cell r="B11">
            <v>338775</v>
          </cell>
        </row>
      </sheetData>
      <sheetData sheetId="1" refreshError="1"/>
      <sheetData sheetId="2" refreshError="1">
        <row r="3">
          <cell r="B3">
            <v>189322.11</v>
          </cell>
        </row>
        <row r="11">
          <cell r="B11">
            <v>200000</v>
          </cell>
        </row>
      </sheetData>
      <sheetData sheetId="3" refreshError="1"/>
      <sheetData sheetId="4" refreshError="1"/>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dgefield Revenue"/>
      <sheetName val="Edgefield Expenditures"/>
      <sheetName val="Lexington Revenue "/>
      <sheetName val="Lexington Expenditures"/>
      <sheetName val="McCormick Revenue "/>
      <sheetName val="McCormick Expenditures"/>
      <sheetName val="Saluda Revenue"/>
      <sheetName val="Saluda Expenditures"/>
      <sheetName val="Total 11th Circuit Revenue"/>
      <sheetName val="Total 11th Circuit Expenditures"/>
      <sheetName val="Sheet3"/>
    </sheetNames>
    <sheetDataSet>
      <sheetData sheetId="0" refreshError="1"/>
      <sheetData sheetId="1" refreshError="1"/>
      <sheetData sheetId="2" refreshError="1"/>
      <sheetData sheetId="3" refreshError="1"/>
      <sheetData sheetId="4" refreshError="1"/>
      <sheetData sheetId="5" refreshError="1"/>
      <sheetData sheetId="6" refreshError="1">
        <row r="3">
          <cell r="B3">
            <v>50661.420000000006</v>
          </cell>
        </row>
        <row r="11">
          <cell r="B11">
            <v>22400</v>
          </cell>
        </row>
      </sheetData>
      <sheetData sheetId="7" refreshError="1"/>
      <sheetData sheetId="8" refreshError="1"/>
      <sheetData sheetId="9" refreshError="1"/>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orence Revenue"/>
      <sheetName val="Florence Expenditures"/>
      <sheetName val="Marion Revenue "/>
      <sheetName val="Marion Expenditures"/>
      <sheetName val="Total 12th Circuit Revenue"/>
      <sheetName val="Total 12th Circuit Expenditures"/>
      <sheetName val="Sheet3"/>
    </sheetNames>
    <sheetDataSet>
      <sheetData sheetId="0" refreshError="1">
        <row r="3">
          <cell r="B3">
            <v>348920.26</v>
          </cell>
        </row>
        <row r="11">
          <cell r="B11">
            <v>719865</v>
          </cell>
        </row>
        <row r="13">
          <cell r="B13">
            <v>20000</v>
          </cell>
        </row>
      </sheetData>
      <sheetData sheetId="1" refreshError="1"/>
      <sheetData sheetId="2" refreshError="1">
        <row r="3">
          <cell r="B3">
            <v>84275.12</v>
          </cell>
        </row>
        <row r="11">
          <cell r="B11">
            <v>64179</v>
          </cell>
        </row>
      </sheetData>
      <sheetData sheetId="3" refreshError="1"/>
      <sheetData sheetId="4" refreshError="1"/>
      <sheetData sheetId="5" refreshError="1"/>
      <sheetData sheetId="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eenville Revenue"/>
      <sheetName val="Greenville Expenditures"/>
      <sheetName val="Pickens Revenue "/>
      <sheetName val="Pickens Expenditures"/>
      <sheetName val="Total 13th Circuit Revenue"/>
      <sheetName val="Total 13th Circuit Expenditures"/>
      <sheetName val="Sheet3"/>
    </sheetNames>
    <sheetDataSet>
      <sheetData sheetId="0" refreshError="1"/>
      <sheetData sheetId="1" refreshError="1"/>
      <sheetData sheetId="2" refreshError="1">
        <row r="3">
          <cell r="B3">
            <v>303902.31</v>
          </cell>
        </row>
        <row r="11">
          <cell r="B11">
            <v>102286</v>
          </cell>
        </row>
      </sheetData>
      <sheetData sheetId="3" refreshError="1"/>
      <sheetData sheetId="4" refreshError="1"/>
      <sheetData sheetId="5" refreshError="1"/>
      <sheetData sheetId="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endale Revenue"/>
      <sheetName val="Allendale Expenditures"/>
      <sheetName val="Beaufort Revenue "/>
      <sheetName val="Beaufort Expenditures"/>
      <sheetName val="Colleton Revenue "/>
      <sheetName val="Colleton Expenditures"/>
      <sheetName val="Hampton Revenue"/>
      <sheetName val="Hampton Expenditures"/>
      <sheetName val="Jasper Revenue"/>
      <sheetName val="Jasper Expenditures"/>
      <sheetName val="Total 14th Circuit Revenue"/>
      <sheetName val="Total 14th Circuit Expenditures"/>
      <sheetName val="Sheet3"/>
    </sheetNames>
    <sheetDataSet>
      <sheetData sheetId="0" refreshError="1"/>
      <sheetData sheetId="1" refreshError="1"/>
      <sheetData sheetId="2" refreshError="1"/>
      <sheetData sheetId="3" refreshError="1"/>
      <sheetData sheetId="4" refreshError="1"/>
      <sheetData sheetId="5" refreshError="1"/>
      <sheetData sheetId="6" refreshError="1">
        <row r="3">
          <cell r="B3">
            <v>53758.509999999995</v>
          </cell>
        </row>
        <row r="11">
          <cell r="B11">
            <v>44000</v>
          </cell>
        </row>
      </sheetData>
      <sheetData sheetId="7" refreshError="1"/>
      <sheetData sheetId="8" refreshError="1">
        <row r="3">
          <cell r="B3">
            <v>63156.69</v>
          </cell>
        </row>
        <row r="11">
          <cell r="B11">
            <v>124000</v>
          </cell>
        </row>
      </sheetData>
      <sheetData sheetId="9" refreshError="1"/>
      <sheetData sheetId="10" refreshError="1"/>
      <sheetData sheetId="11" refreshError="1"/>
      <sheetData sheetId="1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orgetown Revenue"/>
      <sheetName val="Georgetown Expenditures"/>
      <sheetName val="Horry Revenue "/>
      <sheetName val="Horry Expenditures"/>
      <sheetName val="Total 15th Circuit Revenue"/>
      <sheetName val="Total 15th Circuit Expenditures"/>
      <sheetName val="Sheet3"/>
    </sheetNames>
    <sheetDataSet>
      <sheetData sheetId="0" refreshError="1"/>
      <sheetData sheetId="1" refreshError="1"/>
      <sheetData sheetId="2" refreshError="1">
        <row r="3">
          <cell r="B3">
            <v>686423.88</v>
          </cell>
        </row>
        <row r="11">
          <cell r="B11">
            <v>989354</v>
          </cell>
        </row>
      </sheetData>
      <sheetData sheetId="3" refreshError="1"/>
      <sheetData sheetId="4" refreshError="1"/>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on Revenue"/>
      <sheetName val="Union Expenditures"/>
      <sheetName val="York Revenue "/>
      <sheetName val="York Expenditures"/>
      <sheetName val="Total 16th Circuit Revenue"/>
      <sheetName val="Total 16th Circuit Expenditures"/>
      <sheetName val="Sheet3"/>
    </sheetNames>
    <sheetDataSet>
      <sheetData sheetId="0" refreshError="1">
        <row r="3">
          <cell r="B3">
            <v>73821.710000000006</v>
          </cell>
        </row>
        <row r="11">
          <cell r="B11">
            <v>100822</v>
          </cell>
        </row>
      </sheetData>
      <sheetData sheetId="1" refreshError="1"/>
      <sheetData sheetId="2" refreshError="1">
        <row r="3">
          <cell r="B3">
            <v>576261.69000000006</v>
          </cell>
        </row>
        <row r="11">
          <cell r="B11">
            <v>1369721</v>
          </cell>
        </row>
        <row r="13">
          <cell r="B13">
            <v>15000</v>
          </cell>
        </row>
      </sheetData>
      <sheetData sheetId="3" refreshError="1"/>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efreshError="1">
        <row r="2">
          <cell r="I2">
            <v>70681.19</v>
          </cell>
        </row>
        <row r="3">
          <cell r="I3">
            <v>1015604.05</v>
          </cell>
        </row>
        <row r="4">
          <cell r="I4">
            <v>846177.29</v>
          </cell>
        </row>
        <row r="7">
          <cell r="I7">
            <v>891793.74</v>
          </cell>
        </row>
        <row r="8">
          <cell r="I8">
            <v>75250.899999999994</v>
          </cell>
        </row>
        <row r="9">
          <cell r="I9">
            <v>134661.01</v>
          </cell>
        </row>
        <row r="12">
          <cell r="I12">
            <v>164141.15999999997</v>
          </cell>
        </row>
        <row r="13">
          <cell r="I13">
            <v>88991.83</v>
          </cell>
        </row>
        <row r="14">
          <cell r="I14">
            <v>498905.64999999997</v>
          </cell>
        </row>
        <row r="15">
          <cell r="I15">
            <v>119597.31999999999</v>
          </cell>
        </row>
        <row r="18">
          <cell r="I18">
            <v>308175.08999999997</v>
          </cell>
        </row>
        <row r="19">
          <cell r="I19">
            <v>320068.02</v>
          </cell>
        </row>
        <row r="20">
          <cell r="I20">
            <v>135726.15999999997</v>
          </cell>
        </row>
        <row r="21">
          <cell r="I21">
            <v>130040.3</v>
          </cell>
        </row>
        <row r="24">
          <cell r="I24">
            <v>307265.61</v>
          </cell>
        </row>
        <row r="25">
          <cell r="I25">
            <v>2659751.69</v>
          </cell>
        </row>
        <row r="28">
          <cell r="I28">
            <v>185453.93</v>
          </cell>
        </row>
        <row r="29">
          <cell r="I29">
            <v>125063.94</v>
          </cell>
        </row>
        <row r="30">
          <cell r="I30">
            <v>465386.14</v>
          </cell>
        </row>
        <row r="33">
          <cell r="I33">
            <v>281066.93</v>
          </cell>
        </row>
        <row r="34">
          <cell r="I34">
            <v>1840868.35</v>
          </cell>
        </row>
        <row r="37">
          <cell r="I37">
            <v>91578.05</v>
          </cell>
        </row>
        <row r="38">
          <cell r="I38">
            <v>326566.09999999998</v>
          </cell>
        </row>
        <row r="39">
          <cell r="I39">
            <v>255602.96</v>
          </cell>
        </row>
        <row r="40">
          <cell r="I40">
            <v>166083</v>
          </cell>
        </row>
        <row r="43">
          <cell r="I43">
            <v>953718.36</v>
          </cell>
        </row>
        <row r="44">
          <cell r="I44">
            <v>4320875.3099999996</v>
          </cell>
        </row>
        <row r="47">
          <cell r="I47">
            <v>815759.64</v>
          </cell>
        </row>
        <row r="48">
          <cell r="I48">
            <v>389322.11</v>
          </cell>
        </row>
        <row r="51">
          <cell r="I51">
            <v>96184.84</v>
          </cell>
        </row>
        <row r="52">
          <cell r="I52">
            <v>1212767.33</v>
          </cell>
        </row>
        <row r="53">
          <cell r="I53">
            <v>49485.03</v>
          </cell>
        </row>
        <row r="54">
          <cell r="I54">
            <v>73061.420000000013</v>
          </cell>
        </row>
        <row r="57">
          <cell r="I57">
            <v>1088785.26</v>
          </cell>
        </row>
        <row r="58">
          <cell r="I58">
            <v>148454.12</v>
          </cell>
        </row>
        <row r="61">
          <cell r="I61">
            <v>1897997.06</v>
          </cell>
        </row>
        <row r="62">
          <cell r="I62">
            <v>406188.31</v>
          </cell>
        </row>
        <row r="65">
          <cell r="I65">
            <v>46558.030000000006</v>
          </cell>
        </row>
        <row r="66">
          <cell r="I66">
            <v>1232825.3500000001</v>
          </cell>
        </row>
        <row r="67">
          <cell r="I67">
            <v>334036.83</v>
          </cell>
        </row>
        <row r="68">
          <cell r="I68">
            <v>97758.51</v>
          </cell>
        </row>
        <row r="69">
          <cell r="I69">
            <v>187156.69</v>
          </cell>
        </row>
        <row r="72">
          <cell r="I72">
            <v>279442.56</v>
          </cell>
        </row>
        <row r="73">
          <cell r="I73">
            <v>1675777.88</v>
          </cell>
        </row>
        <row r="76">
          <cell r="I76">
            <v>174643.71000000002</v>
          </cell>
        </row>
        <row r="77">
          <cell r="I77">
            <v>1960982.69</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iken Revenue"/>
      <sheetName val="Aiken Expenditures"/>
      <sheetName val="Bamberg Revenue "/>
      <sheetName val="Bamberg Expenditures"/>
      <sheetName val="Barnwell Revenue "/>
      <sheetName val="Barnwell Expenditures"/>
      <sheetName val="Total 2nd Circuit Revenue"/>
      <sheetName val="Total 2nd Circuit Expenditures"/>
      <sheetName val="Sheet3"/>
    </sheetNames>
    <sheetDataSet>
      <sheetData sheetId="0" refreshError="1">
        <row r="3">
          <cell r="B3">
            <v>408092.74000000005</v>
          </cell>
        </row>
        <row r="11">
          <cell r="B11">
            <v>449701</v>
          </cell>
        </row>
        <row r="13">
          <cell r="B13">
            <v>34000</v>
          </cell>
        </row>
      </sheetData>
      <sheetData sheetId="1" refreshError="1"/>
      <sheetData sheetId="2" refreshError="1">
        <row r="3">
          <cell r="B3">
            <v>40750.9</v>
          </cell>
        </row>
        <row r="11">
          <cell r="B11">
            <v>32500</v>
          </cell>
        </row>
        <row r="13">
          <cell r="B13">
            <v>2000</v>
          </cell>
        </row>
      </sheetData>
      <sheetData sheetId="3" refreshError="1"/>
      <sheetData sheetId="4" refreshError="1">
        <row r="3">
          <cell r="B3">
            <v>57661.009999999995</v>
          </cell>
        </row>
        <row r="11">
          <cell r="B11">
            <v>75000</v>
          </cell>
        </row>
        <row r="13">
          <cell r="B13">
            <v>2000</v>
          </cell>
        </row>
      </sheetData>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rendon Revenue"/>
      <sheetName val="Clarendon Expenditures"/>
      <sheetName val="Lee Revenue "/>
      <sheetName val="Lee Expenditures"/>
      <sheetName val="Sumter Revenue "/>
      <sheetName val="Sumter Expenditures"/>
      <sheetName val="Williamsburg Revenue"/>
      <sheetName val="Williamsburg Expenditures"/>
      <sheetName val="Total 3rd Circuit Revenue"/>
      <sheetName val="Total 3rd Circuit Expenditures"/>
      <sheetName val="Sheet3"/>
    </sheetNames>
    <sheetDataSet>
      <sheetData sheetId="0" refreshError="1">
        <row r="3">
          <cell r="B3">
            <v>89141.159999999989</v>
          </cell>
        </row>
        <row r="11">
          <cell r="B11">
            <v>75000</v>
          </cell>
        </row>
      </sheetData>
      <sheetData sheetId="1" refreshError="1"/>
      <sheetData sheetId="2" refreshError="1">
        <row r="3">
          <cell r="B3">
            <v>48991.83</v>
          </cell>
        </row>
        <row r="11">
          <cell r="B11">
            <v>40000</v>
          </cell>
        </row>
      </sheetData>
      <sheetData sheetId="3" refreshError="1"/>
      <sheetData sheetId="4" refreshError="1">
        <row r="3">
          <cell r="B3">
            <v>273905.64999999997</v>
          </cell>
        </row>
        <row r="11">
          <cell r="B11">
            <v>225000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sterfield Revenue"/>
      <sheetName val="Chesterfield Expenditures"/>
      <sheetName val="Darlington Revenue"/>
      <sheetName val="Darlington Expenditures"/>
      <sheetName val="Dillion Revenue "/>
      <sheetName val="Dillion Expenditures"/>
      <sheetName val="Marlboro Revenue"/>
      <sheetName val="Marlboro Expenditures"/>
      <sheetName val="Total 4th Circuit Revenue"/>
      <sheetName val="Total 4th Circuit Expenditures"/>
      <sheetName val="Sheet3"/>
    </sheetNames>
    <sheetDataSet>
      <sheetData sheetId="0" refreshError="1"/>
      <sheetData sheetId="1" refreshError="1"/>
      <sheetData sheetId="2" refreshError="1"/>
      <sheetData sheetId="3" refreshError="1"/>
      <sheetData sheetId="4" refreshError="1">
        <row r="3">
          <cell r="B3">
            <v>81726.159999999989</v>
          </cell>
        </row>
        <row r="11">
          <cell r="B11">
            <v>54000</v>
          </cell>
        </row>
      </sheetData>
      <sheetData sheetId="5" refreshError="1"/>
      <sheetData sheetId="6" refreshError="1">
        <row r="3">
          <cell r="B3">
            <v>73750.3</v>
          </cell>
        </row>
        <row r="11">
          <cell r="B11">
            <v>56290</v>
          </cell>
        </row>
      </sheetData>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ershaw Revenue"/>
      <sheetName val="Kershaw Expenditures"/>
      <sheetName val="Richland Revenue "/>
      <sheetName val="Richland Expenditures"/>
      <sheetName val="Total 5th Circuit Revenue"/>
      <sheetName val="Total 5th Circuit Expenditures"/>
      <sheetName val="Sheet3"/>
    </sheetNames>
    <sheetDataSet>
      <sheetData sheetId="0" refreshError="1">
        <row r="3">
          <cell r="B3">
            <v>157265.61000000002</v>
          </cell>
        </row>
        <row r="11">
          <cell r="B11">
            <v>150000</v>
          </cell>
        </row>
      </sheetData>
      <sheetData sheetId="1" refreshError="1"/>
      <sheetData sheetId="2" refreshError="1">
        <row r="3">
          <cell r="B3">
            <v>980101.69000000006</v>
          </cell>
        </row>
        <row r="11">
          <cell r="B11">
            <v>1567650</v>
          </cell>
        </row>
        <row r="13">
          <cell r="B13">
            <v>100000</v>
          </cell>
        </row>
        <row r="14">
          <cell r="B14">
            <v>0</v>
          </cell>
        </row>
        <row r="15">
          <cell r="B15">
            <v>12000</v>
          </cell>
        </row>
      </sheetData>
      <sheetData sheetId="3" refreshError="1"/>
      <sheetData sheetId="4" refreshError="1"/>
      <sheetData sheetId="5" refreshError="1"/>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ster Revenue"/>
      <sheetName val="Chester Expenditutres"/>
      <sheetName val="Fairfield Revenue "/>
      <sheetName val="Fairfield Expenditutres"/>
      <sheetName val="Lancaster Revenue"/>
      <sheetName val="Lancaster Expenditutres"/>
      <sheetName val="Total 6th Circuit Revenue"/>
      <sheetName val="Total 6th Circuit Expenditutres"/>
      <sheetName val="Sheet3"/>
    </sheetNames>
    <sheetDataSet>
      <sheetData sheetId="0" refreshError="1">
        <row r="3">
          <cell r="B3">
            <v>84473.930000000008</v>
          </cell>
        </row>
        <row r="11">
          <cell r="B11">
            <v>100980</v>
          </cell>
        </row>
      </sheetData>
      <sheetData sheetId="1" refreshError="1"/>
      <sheetData sheetId="2" refreshError="1"/>
      <sheetData sheetId="3" refreshError="1"/>
      <sheetData sheetId="4" refreshError="1">
        <row r="3">
          <cell r="B3">
            <v>195386.13999999998</v>
          </cell>
        </row>
        <row r="11">
          <cell r="B11">
            <v>270000</v>
          </cell>
        </row>
      </sheetData>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rokee Revenue"/>
      <sheetName val="Cherokee Expenditutres"/>
      <sheetName val="Spartanburg Revenue "/>
      <sheetName val="Spartanburg Expenditutres"/>
      <sheetName val="Total 7th Circuit Revenue"/>
      <sheetName val="Total 7th Circuit Expenditutres"/>
      <sheetName val="Sheet3"/>
    </sheetNames>
    <sheetDataSet>
      <sheetData sheetId="0" refreshError="1">
        <row r="3">
          <cell r="B3">
            <v>141066.93</v>
          </cell>
        </row>
        <row r="11">
          <cell r="B11">
            <v>140000</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beville Revenue"/>
      <sheetName val="Abbeville Expenditutres"/>
      <sheetName val="Greenwood Revenue"/>
      <sheetName val="Greenwood Expenditutres"/>
      <sheetName val="Laurens Revenue"/>
      <sheetName val="Laurens Expenditutres"/>
      <sheetName val="Newberry Revenue"/>
      <sheetName val="Newberry Expenditutres"/>
      <sheetName val="Total 8th Circuit Revenue"/>
      <sheetName val="Total 8th Circuit Expenditutres"/>
      <sheetName val="Sheet3"/>
    </sheetNames>
    <sheetDataSet>
      <sheetData sheetId="0" refreshError="1">
        <row r="3">
          <cell r="B3">
            <v>64788.05</v>
          </cell>
        </row>
        <row r="11">
          <cell r="B11">
            <v>26790</v>
          </cell>
        </row>
      </sheetData>
      <sheetData sheetId="1" refreshError="1"/>
      <sheetData sheetId="2" refreshError="1">
        <row r="3">
          <cell r="B3">
            <v>177566.09999999998</v>
          </cell>
        </row>
        <row r="11">
          <cell r="B11">
            <v>149000</v>
          </cell>
        </row>
      </sheetData>
      <sheetData sheetId="3" refreshError="1"/>
      <sheetData sheetId="4" refreshError="1">
        <row r="3">
          <cell r="B3">
            <v>169602.96</v>
          </cell>
        </row>
        <row r="11">
          <cell r="B11">
            <v>86000</v>
          </cell>
        </row>
      </sheetData>
      <sheetData sheetId="5" refreshError="1"/>
      <sheetData sheetId="6" refreshError="1">
        <row r="3">
          <cell r="B3">
            <v>95607.999999999985</v>
          </cell>
        </row>
        <row r="11">
          <cell r="B11">
            <v>70475</v>
          </cell>
        </row>
      </sheetData>
      <sheetData sheetId="7" refreshError="1"/>
      <sheetData sheetId="8" refreshError="1"/>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rkeley Revenue"/>
      <sheetName val="Berkeley Expenditures"/>
      <sheetName val="Charleston Revenue "/>
      <sheetName val="Charleston Expenditures"/>
      <sheetName val="Total 9th Circuit Revenue"/>
      <sheetName val="Total 9th Circuit Expenditures"/>
      <sheetName val="Sheet3"/>
    </sheetNames>
    <sheetDataSet>
      <sheetData sheetId="0" refreshError="1">
        <row r="3">
          <cell r="B3">
            <v>453322.24000000005</v>
          </cell>
        </row>
        <row r="11">
          <cell r="B11">
            <v>413139</v>
          </cell>
        </row>
        <row r="14">
          <cell r="B14">
            <v>87257.12</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5"/>
  <sheetViews>
    <sheetView tabSelected="1" zoomScaleNormal="100" workbookViewId="0">
      <pane xSplit="3" ySplit="2" topLeftCell="D3" activePane="bottomRight" state="frozen"/>
      <selection pane="topRight" activeCell="D1" sqref="D1"/>
      <selection pane="bottomLeft" activeCell="A3" sqref="A3"/>
      <selection pane="bottomRight" activeCell="D2" sqref="D2"/>
    </sheetView>
  </sheetViews>
  <sheetFormatPr defaultColWidth="9.140625" defaultRowHeight="12.75" outlineLevelCol="1" x14ac:dyDescent="0.2"/>
  <cols>
    <col min="1" max="1" width="3.5703125" style="1" bestFit="1" customWidth="1"/>
    <col min="2" max="2" width="17.7109375" style="7" customWidth="1"/>
    <col min="3" max="3" width="2.7109375" style="4" customWidth="1" outlineLevel="1"/>
    <col min="4" max="4" width="17.28515625" style="4" customWidth="1" outlineLevel="1"/>
    <col min="5" max="5" width="17.7109375" style="4" customWidth="1" outlineLevel="1"/>
    <col min="6" max="6" width="15.7109375" style="4" customWidth="1" outlineLevel="1"/>
    <col min="7" max="7" width="2.7109375" style="4" customWidth="1"/>
    <col min="8" max="8" width="16" style="4" customWidth="1" outlineLevel="1"/>
    <col min="9" max="9" width="16.42578125" style="4" customWidth="1" outlineLevel="1"/>
    <col min="10" max="10" width="24.7109375" style="4" bestFit="1" customWidth="1" outlineLevel="1"/>
    <col min="11" max="11" width="40.140625" style="4" customWidth="1" outlineLevel="1"/>
    <col min="12" max="12" width="2.7109375" style="5" customWidth="1"/>
    <col min="13" max="14" width="12.5703125" style="5" customWidth="1" outlineLevel="1"/>
    <col min="15" max="15" width="20.42578125" style="5" customWidth="1" outlineLevel="1"/>
    <col min="16" max="16" width="2.7109375" style="5" customWidth="1"/>
    <col min="17" max="17" width="17.140625" style="5" customWidth="1" outlineLevel="1"/>
    <col min="18" max="18" width="16.85546875" style="5" customWidth="1" outlineLevel="1"/>
    <col min="19" max="19" width="17.5703125" style="5" bestFit="1" customWidth="1" outlineLevel="1"/>
    <col min="20" max="20" width="22.42578125" style="5" customWidth="1" outlineLevel="1"/>
    <col min="21" max="16384" width="9.140625" style="5"/>
  </cols>
  <sheetData>
    <row r="1" spans="1:20" ht="15" x14ac:dyDescent="0.2">
      <c r="C1" s="11"/>
      <c r="D1" s="282" t="s">
        <v>67</v>
      </c>
      <c r="E1" s="283"/>
      <c r="F1" s="283"/>
      <c r="G1" s="125"/>
      <c r="H1" s="282" t="s">
        <v>68</v>
      </c>
      <c r="I1" s="284"/>
      <c r="J1" s="284"/>
      <c r="K1" s="284"/>
      <c r="L1" s="125"/>
      <c r="M1" s="282" t="s">
        <v>69</v>
      </c>
      <c r="N1" s="283"/>
      <c r="O1" s="283"/>
      <c r="P1" s="125"/>
      <c r="Q1" s="282" t="s">
        <v>77</v>
      </c>
      <c r="R1" s="284"/>
      <c r="S1" s="284"/>
      <c r="T1" s="284"/>
    </row>
    <row r="2" spans="1:20" ht="102" x14ac:dyDescent="0.2">
      <c r="A2" s="136" t="s">
        <v>0</v>
      </c>
      <c r="B2" s="21" t="s">
        <v>78</v>
      </c>
      <c r="C2" s="139"/>
      <c r="D2" s="185" t="s">
        <v>66</v>
      </c>
      <c r="E2" s="177" t="s">
        <v>65</v>
      </c>
      <c r="F2" s="140" t="s">
        <v>52</v>
      </c>
      <c r="G2" s="139"/>
      <c r="H2" s="185" t="s">
        <v>66</v>
      </c>
      <c r="I2" s="177" t="s">
        <v>65</v>
      </c>
      <c r="J2" s="140" t="s">
        <v>54</v>
      </c>
      <c r="K2" s="140" t="s">
        <v>55</v>
      </c>
      <c r="L2" s="139"/>
      <c r="M2" s="185" t="s">
        <v>66</v>
      </c>
      <c r="N2" s="177" t="s">
        <v>65</v>
      </c>
      <c r="O2" s="140" t="s">
        <v>52</v>
      </c>
      <c r="P2" s="139"/>
      <c r="Q2" s="185" t="s">
        <v>66</v>
      </c>
      <c r="R2" s="177" t="s">
        <v>65</v>
      </c>
      <c r="S2" s="140" t="s">
        <v>54</v>
      </c>
      <c r="T2" s="140" t="s">
        <v>55</v>
      </c>
    </row>
    <row r="3" spans="1:20" x14ac:dyDescent="0.2">
      <c r="A3" s="133">
        <v>1</v>
      </c>
      <c r="B3" s="134" t="s">
        <v>1</v>
      </c>
      <c r="C3" s="12"/>
      <c r="D3" s="13">
        <f>'FY17 Ind. Defense R&amp;E'!I3</f>
        <v>94459.589360642756</v>
      </c>
      <c r="E3" s="176">
        <f>'FY17 Ind. Defense R&amp;E'!AF3</f>
        <v>85156.88</v>
      </c>
      <c r="F3" s="186">
        <f>D3-E3</f>
        <v>9302.7093606427516</v>
      </c>
      <c r="G3" s="12"/>
      <c r="H3" s="13">
        <f>'FY17 Solicitor R&amp;E'!H3</f>
        <v>191745</v>
      </c>
      <c r="I3" s="176">
        <f>'FY17 Solicitor R&amp;E'!U3</f>
        <v>135285</v>
      </c>
      <c r="J3" s="186">
        <f>H3-I3</f>
        <v>56460</v>
      </c>
      <c r="K3" s="188"/>
      <c r="L3" s="12"/>
      <c r="M3" s="13">
        <f>'FY16 Ind. Defense R&amp;E'!I3</f>
        <v>70681.19</v>
      </c>
      <c r="N3" s="176">
        <f>'FY16 Ind. Defense R&amp;E'!AF3</f>
        <v>0</v>
      </c>
      <c r="O3" s="186"/>
      <c r="P3" s="12"/>
      <c r="Q3" s="13">
        <f>'FY16 Solicitor R&amp;E'!H3</f>
        <v>60000</v>
      </c>
      <c r="R3" s="176">
        <f>'FY16 Solicitor R&amp;E'!U3</f>
        <v>132521</v>
      </c>
      <c r="S3" s="186">
        <f>Q3-R3</f>
        <v>-72521</v>
      </c>
      <c r="T3" s="188"/>
    </row>
    <row r="4" spans="1:20" x14ac:dyDescent="0.2">
      <c r="A4" s="79">
        <v>1</v>
      </c>
      <c r="B4" s="43" t="s">
        <v>2</v>
      </c>
      <c r="C4" s="12"/>
      <c r="D4" s="13">
        <f>'FY17 Ind. Defense R&amp;E'!I4</f>
        <v>1233957.485182377</v>
      </c>
      <c r="E4" s="176">
        <f>'FY17 Ind. Defense R&amp;E'!AF4</f>
        <v>1172121.5699999998</v>
      </c>
      <c r="F4" s="186">
        <f t="shared" ref="F4:F67" si="0">D4-E4</f>
        <v>61835.915182377212</v>
      </c>
      <c r="G4" s="12"/>
      <c r="H4" s="13">
        <f>'FY17 Solicitor R&amp;E'!H4</f>
        <v>2135315</v>
      </c>
      <c r="I4" s="176">
        <f>'FY17 Solicitor R&amp;E'!U4</f>
        <v>1265552</v>
      </c>
      <c r="J4" s="186">
        <f t="shared" ref="J4:J67" si="1">H4-I4</f>
        <v>869763</v>
      </c>
      <c r="K4" s="188"/>
      <c r="L4" s="12"/>
      <c r="M4" s="13">
        <f>'FY16 Ind. Defense R&amp;E'!I4</f>
        <v>1015604.05</v>
      </c>
      <c r="N4" s="176">
        <f>'FY16 Ind. Defense R&amp;E'!AF4</f>
        <v>0</v>
      </c>
      <c r="O4" s="186"/>
      <c r="P4" s="12"/>
      <c r="Q4" s="13">
        <f>'FY16 Solicitor R&amp;E'!H4</f>
        <v>1750674</v>
      </c>
      <c r="R4" s="176">
        <f>'FY16 Solicitor R&amp;E'!U4</f>
        <v>1251766</v>
      </c>
      <c r="S4" s="186">
        <f t="shared" ref="S4:S67" si="2">Q4-R4</f>
        <v>498908</v>
      </c>
      <c r="T4" s="188"/>
    </row>
    <row r="5" spans="1:20" x14ac:dyDescent="0.2">
      <c r="A5" s="79">
        <v>1</v>
      </c>
      <c r="B5" s="43" t="s">
        <v>3</v>
      </c>
      <c r="C5" s="12"/>
      <c r="D5" s="13">
        <f>'FY17 Ind. Defense R&amp;E'!I5</f>
        <v>1024872.2842140899</v>
      </c>
      <c r="E5" s="176">
        <f>'FY17 Ind. Defense R&amp;E'!AF5</f>
        <v>940385.57999999984</v>
      </c>
      <c r="F5" s="186">
        <f t="shared" si="0"/>
        <v>84486.704214090016</v>
      </c>
      <c r="G5" s="12"/>
      <c r="H5" s="13">
        <f>'FY17 Solicitor R&amp;E'!H5</f>
        <v>654288</v>
      </c>
      <c r="I5" s="176">
        <f>'FY17 Solicitor R&amp;E'!U5</f>
        <v>1317313</v>
      </c>
      <c r="J5" s="186">
        <f t="shared" si="1"/>
        <v>-663025</v>
      </c>
      <c r="K5" s="188"/>
      <c r="L5" s="12"/>
      <c r="M5" s="13">
        <f>'FY16 Ind. Defense R&amp;E'!I5</f>
        <v>846177.29</v>
      </c>
      <c r="N5" s="176">
        <f>'FY16 Ind. Defense R&amp;E'!AF5</f>
        <v>0</v>
      </c>
      <c r="O5" s="186"/>
      <c r="P5" s="12"/>
      <c r="Q5" s="13">
        <f>'FY16 Solicitor R&amp;E'!H5</f>
        <v>634288</v>
      </c>
      <c r="R5" s="176">
        <f>'FY16 Solicitor R&amp;E'!U5</f>
        <v>1302860</v>
      </c>
      <c r="S5" s="186">
        <f t="shared" si="2"/>
        <v>-668572</v>
      </c>
      <c r="T5" s="188"/>
    </row>
    <row r="6" spans="1:20" x14ac:dyDescent="0.2">
      <c r="A6" s="44"/>
      <c r="B6" s="45" t="s">
        <v>4</v>
      </c>
      <c r="C6" s="12"/>
      <c r="D6" s="13">
        <f>'FY17 Ind. Defense R&amp;E'!I6</f>
        <v>2353289.3587571094</v>
      </c>
      <c r="E6" s="176">
        <f>'FY17 Ind. Defense R&amp;E'!AF6</f>
        <v>2197664.0299999998</v>
      </c>
      <c r="F6" s="186">
        <f t="shared" si="0"/>
        <v>155625.32875710959</v>
      </c>
      <c r="G6" s="12"/>
      <c r="H6" s="13">
        <f>'FY17 Solicitor R&amp;E'!H6</f>
        <v>2981348</v>
      </c>
      <c r="I6" s="176">
        <f>'FY17 Solicitor R&amp;E'!U6</f>
        <v>2718150</v>
      </c>
      <c r="J6" s="186">
        <f t="shared" si="1"/>
        <v>263198</v>
      </c>
      <c r="K6" s="188"/>
      <c r="L6" s="12"/>
      <c r="M6" s="13">
        <f>'FY16 Ind. Defense R&amp;E'!I6</f>
        <v>1932462.53</v>
      </c>
      <c r="N6" s="176">
        <f>'FY16 Ind. Defense R&amp;E'!AF6</f>
        <v>1750031.29</v>
      </c>
      <c r="O6" s="186">
        <f t="shared" ref="O6:O64" si="3">M6-N6</f>
        <v>182431.24</v>
      </c>
      <c r="P6" s="12"/>
      <c r="Q6" s="13">
        <f>'FY16 Solicitor R&amp;E'!H6</f>
        <v>2444962</v>
      </c>
      <c r="R6" s="176">
        <f>'FY16 Solicitor R&amp;E'!U6</f>
        <v>2687147</v>
      </c>
      <c r="S6" s="186">
        <f t="shared" si="2"/>
        <v>-242185</v>
      </c>
      <c r="T6" s="188"/>
    </row>
    <row r="7" spans="1:20" x14ac:dyDescent="0.2">
      <c r="A7" s="149"/>
      <c r="B7" s="150"/>
      <c r="C7" s="12"/>
      <c r="D7" s="145"/>
      <c r="E7" s="145"/>
      <c r="F7" s="145"/>
      <c r="G7" s="12"/>
      <c r="H7" s="145"/>
      <c r="I7" s="145"/>
      <c r="J7" s="145"/>
      <c r="K7" s="146"/>
      <c r="L7" s="12"/>
      <c r="M7" s="145"/>
      <c r="N7" s="145"/>
      <c r="O7" s="145"/>
      <c r="P7" s="12"/>
      <c r="Q7" s="145"/>
      <c r="R7" s="145"/>
      <c r="S7" s="145"/>
      <c r="T7" s="146"/>
    </row>
    <row r="8" spans="1:20" ht="25.5" x14ac:dyDescent="0.2">
      <c r="A8" s="79">
        <v>2</v>
      </c>
      <c r="B8" s="43" t="s">
        <v>5</v>
      </c>
      <c r="C8" s="12"/>
      <c r="D8" s="13">
        <f>'FY17 Ind. Defense R&amp;E'!I8</f>
        <v>1501383.9866259997</v>
      </c>
      <c r="E8" s="176">
        <f>'FY17 Ind. Defense R&amp;E'!AF8</f>
        <v>1386882.8900000001</v>
      </c>
      <c r="F8" s="186">
        <f t="shared" si="0"/>
        <v>114501.09662599955</v>
      </c>
      <c r="G8" s="12"/>
      <c r="H8" s="13">
        <f>'FY17 Solicitor R&amp;E'!H8</f>
        <v>3289644</v>
      </c>
      <c r="I8" s="176">
        <f>'FY17 Solicitor R&amp;E'!U8</f>
        <v>3507590</v>
      </c>
      <c r="J8" s="186">
        <f t="shared" si="1"/>
        <v>-217946</v>
      </c>
      <c r="K8" s="188" t="s">
        <v>56</v>
      </c>
      <c r="L8" s="12"/>
      <c r="M8" s="13">
        <f>'FY16 Ind. Defense R&amp;E'!I8</f>
        <v>891793.74</v>
      </c>
      <c r="N8" s="176">
        <f>'FY16 Ind. Defense R&amp;E'!AF8</f>
        <v>0</v>
      </c>
      <c r="O8" s="186">
        <f t="shared" si="3"/>
        <v>891793.74</v>
      </c>
      <c r="P8" s="12"/>
      <c r="Q8" s="13">
        <f>'FY16 Solicitor R&amp;E'!H8</f>
        <v>2691497</v>
      </c>
      <c r="R8" s="176">
        <f>'FY16 Solicitor R&amp;E'!U8</f>
        <v>3013885</v>
      </c>
      <c r="S8" s="186">
        <f t="shared" si="2"/>
        <v>-322388</v>
      </c>
      <c r="T8" s="188"/>
    </row>
    <row r="9" spans="1:20" x14ac:dyDescent="0.2">
      <c r="A9" s="79">
        <v>2</v>
      </c>
      <c r="B9" s="43" t="s">
        <v>6</v>
      </c>
      <c r="C9" s="12"/>
      <c r="D9" s="13">
        <f>'FY17 Ind. Defense R&amp;E'!I9</f>
        <v>98301.743334998071</v>
      </c>
      <c r="E9" s="176">
        <f>'FY17 Ind. Defense R&amp;E'!AF9</f>
        <v>0</v>
      </c>
      <c r="F9" s="186">
        <f t="shared" si="0"/>
        <v>98301.743334998071</v>
      </c>
      <c r="G9" s="12"/>
      <c r="H9" s="13">
        <f>'FY17 Solicitor R&amp;E'!H9</f>
        <v>81726</v>
      </c>
      <c r="I9" s="176">
        <f>'FY17 Solicitor R&amp;E'!U9</f>
        <v>0</v>
      </c>
      <c r="J9" s="186"/>
      <c r="K9" s="188"/>
      <c r="L9" s="12"/>
      <c r="M9" s="13">
        <f>'FY16 Ind. Defense R&amp;E'!I9</f>
        <v>75250.899999999994</v>
      </c>
      <c r="N9" s="176">
        <f>'FY16 Ind. Defense R&amp;E'!AF9</f>
        <v>0</v>
      </c>
      <c r="O9" s="186"/>
      <c r="P9" s="12"/>
      <c r="Q9" s="13">
        <f>'FY16 Solicitor R&amp;E'!H9</f>
        <v>81726</v>
      </c>
      <c r="R9" s="176">
        <f>'FY16 Solicitor R&amp;E'!U9</f>
        <v>115322</v>
      </c>
      <c r="S9" s="186">
        <f t="shared" si="2"/>
        <v>-33596</v>
      </c>
      <c r="T9" s="188"/>
    </row>
    <row r="10" spans="1:20" ht="13.5" thickBot="1" x14ac:dyDescent="0.25">
      <c r="A10" s="79">
        <v>2</v>
      </c>
      <c r="B10" s="43" t="s">
        <v>7</v>
      </c>
      <c r="C10" s="12"/>
      <c r="D10" s="178">
        <f>'FY17 Ind. Defense R&amp;E'!I10</f>
        <v>143106.97666735417</v>
      </c>
      <c r="E10" s="179">
        <f>'FY17 Ind. Defense R&amp;E'!AF10</f>
        <v>4352.37</v>
      </c>
      <c r="F10" s="187">
        <f t="shared" si="0"/>
        <v>138754.60666735418</v>
      </c>
      <c r="G10" s="12"/>
      <c r="H10" s="178">
        <f>'FY17 Solicitor R&amp;E'!H10</f>
        <v>130000</v>
      </c>
      <c r="I10" s="179">
        <f>'FY17 Solicitor R&amp;E'!U10</f>
        <v>0</v>
      </c>
      <c r="J10" s="187"/>
      <c r="K10" s="188"/>
      <c r="L10" s="12"/>
      <c r="M10" s="178">
        <f>'FY16 Ind. Defense R&amp;E'!I10</f>
        <v>134661.01</v>
      </c>
      <c r="N10" s="179">
        <f>'FY16 Ind. Defense R&amp;E'!AF10</f>
        <v>0</v>
      </c>
      <c r="O10" s="187"/>
      <c r="P10" s="12"/>
      <c r="Q10" s="178">
        <f>'FY16 Solicitor R&amp;E'!H10</f>
        <v>130000</v>
      </c>
      <c r="R10" s="179">
        <f>'FY16 Solicitor R&amp;E'!U10</f>
        <v>306567</v>
      </c>
      <c r="S10" s="187">
        <f t="shared" si="2"/>
        <v>-176567</v>
      </c>
      <c r="T10" s="188"/>
    </row>
    <row r="11" spans="1:20" ht="13.5" thickTop="1" x14ac:dyDescent="0.2">
      <c r="A11" s="44"/>
      <c r="B11" s="45" t="s">
        <v>4</v>
      </c>
      <c r="C11" s="12"/>
      <c r="D11" s="13">
        <f>'FY17 Ind. Defense R&amp;E'!I11</f>
        <v>1742792.7066283519</v>
      </c>
      <c r="E11" s="176">
        <f>'FY17 Ind. Defense R&amp;E'!AF11</f>
        <v>1391235.26</v>
      </c>
      <c r="F11" s="186">
        <f t="shared" si="0"/>
        <v>351557.44662835193</v>
      </c>
      <c r="G11" s="12"/>
      <c r="H11" s="13">
        <f>'FY17 Solicitor R&amp;E'!H11</f>
        <v>3501370</v>
      </c>
      <c r="I11" s="176">
        <f>'FY17 Solicitor R&amp;E'!U11</f>
        <v>3507590</v>
      </c>
      <c r="J11" s="186">
        <f t="shared" si="1"/>
        <v>-6220</v>
      </c>
      <c r="K11" s="188"/>
      <c r="L11" s="12"/>
      <c r="M11" s="13">
        <f>'FY16 Ind. Defense R&amp;E'!I11</f>
        <v>1101705.6500000001</v>
      </c>
      <c r="N11" s="176">
        <f>'FY16 Ind. Defense R&amp;E'!AF11</f>
        <v>1360540.16</v>
      </c>
      <c r="O11" s="186">
        <f t="shared" si="3"/>
        <v>-258834.50999999978</v>
      </c>
      <c r="P11" s="12"/>
      <c r="Q11" s="13">
        <f>'FY16 Solicitor R&amp;E'!H11</f>
        <v>2903223</v>
      </c>
      <c r="R11" s="176">
        <f>'FY16 Solicitor R&amp;E'!U11</f>
        <v>3435774</v>
      </c>
      <c r="S11" s="186">
        <f t="shared" si="2"/>
        <v>-532551</v>
      </c>
      <c r="T11" s="188"/>
    </row>
    <row r="12" spans="1:20" x14ac:dyDescent="0.2">
      <c r="A12" s="148"/>
      <c r="B12" s="147"/>
      <c r="C12" s="12"/>
      <c r="D12" s="145"/>
      <c r="E12" s="145"/>
      <c r="F12" s="145"/>
      <c r="G12" s="12"/>
      <c r="H12" s="145"/>
      <c r="I12" s="145"/>
      <c r="J12" s="145"/>
      <c r="K12" s="146"/>
      <c r="L12" s="12"/>
      <c r="M12" s="145"/>
      <c r="N12" s="145"/>
      <c r="O12" s="145"/>
      <c r="P12" s="12"/>
      <c r="Q12" s="145"/>
      <c r="R12" s="145"/>
      <c r="S12" s="145"/>
      <c r="T12" s="146"/>
    </row>
    <row r="13" spans="1:20" x14ac:dyDescent="0.2">
      <c r="A13" s="79">
        <v>3</v>
      </c>
      <c r="B13" s="43" t="s">
        <v>8</v>
      </c>
      <c r="C13" s="12"/>
      <c r="D13" s="13">
        <f>'FY17 Ind. Defense R&amp;E'!I13</f>
        <v>218938.99832164991</v>
      </c>
      <c r="E13" s="176">
        <f>'FY17 Ind. Defense R&amp;E'!AF13</f>
        <v>210472.07</v>
      </c>
      <c r="F13" s="186">
        <f t="shared" si="0"/>
        <v>8466.9283216499025</v>
      </c>
      <c r="G13" s="12"/>
      <c r="H13" s="13">
        <f>'FY17 Solicitor R&amp;E'!H13</f>
        <v>0</v>
      </c>
      <c r="I13" s="176">
        <f>'FY17 Solicitor R&amp;E'!U13</f>
        <v>0</v>
      </c>
      <c r="J13" s="186">
        <f t="shared" si="1"/>
        <v>0</v>
      </c>
      <c r="K13" s="188"/>
      <c r="L13" s="12"/>
      <c r="M13" s="13">
        <f>'FY16 Ind. Defense R&amp;E'!I13</f>
        <v>164141.15999999997</v>
      </c>
      <c r="N13" s="176">
        <f>'FY16 Ind. Defense R&amp;E'!AF13</f>
        <v>0</v>
      </c>
      <c r="O13" s="186"/>
      <c r="P13" s="12"/>
      <c r="Q13" s="13">
        <f>'FY16 Solicitor R&amp;E'!H13</f>
        <v>0</v>
      </c>
      <c r="R13" s="176">
        <f>'FY16 Solicitor R&amp;E'!U13</f>
        <v>0</v>
      </c>
      <c r="S13" s="186">
        <f t="shared" si="2"/>
        <v>0</v>
      </c>
      <c r="T13" s="188"/>
    </row>
    <row r="14" spans="1:20" x14ac:dyDescent="0.2">
      <c r="A14" s="79">
        <v>3</v>
      </c>
      <c r="B14" s="43" t="s">
        <v>9</v>
      </c>
      <c r="C14" s="12"/>
      <c r="D14" s="13">
        <f>'FY17 Ind. Defense R&amp;E'!I14</f>
        <v>119108.61993486351</v>
      </c>
      <c r="E14" s="176">
        <f>'FY17 Ind. Defense R&amp;E'!AF14</f>
        <v>123328.37</v>
      </c>
      <c r="F14" s="186">
        <f t="shared" si="0"/>
        <v>-4219.7500651364826</v>
      </c>
      <c r="G14" s="12"/>
      <c r="H14" s="13">
        <f>'FY17 Solicitor R&amp;E'!H14</f>
        <v>0</v>
      </c>
      <c r="I14" s="176">
        <f>'FY17 Solicitor R&amp;E'!U14</f>
        <v>0</v>
      </c>
      <c r="J14" s="186">
        <f t="shared" si="1"/>
        <v>0</v>
      </c>
      <c r="K14" s="188"/>
      <c r="L14" s="12"/>
      <c r="M14" s="13">
        <f>'FY16 Ind. Defense R&amp;E'!I14</f>
        <v>88991.83</v>
      </c>
      <c r="N14" s="176">
        <f>'FY16 Ind. Defense R&amp;E'!AF14</f>
        <v>0</v>
      </c>
      <c r="O14" s="186"/>
      <c r="P14" s="12"/>
      <c r="Q14" s="13">
        <f>'FY16 Solicitor R&amp;E'!H14</f>
        <v>0</v>
      </c>
      <c r="R14" s="176">
        <f>'FY16 Solicitor R&amp;E'!U14</f>
        <v>0</v>
      </c>
      <c r="S14" s="186">
        <f t="shared" si="2"/>
        <v>0</v>
      </c>
      <c r="T14" s="188"/>
    </row>
    <row r="15" spans="1:20" x14ac:dyDescent="0.2">
      <c r="A15" s="79">
        <v>3</v>
      </c>
      <c r="B15" s="43" t="s">
        <v>10</v>
      </c>
      <c r="C15" s="12"/>
      <c r="D15" s="13">
        <f>'FY17 Ind. Defense R&amp;E'!I15</f>
        <v>694783.86387724732</v>
      </c>
      <c r="E15" s="176">
        <f>'FY17 Ind. Defense R&amp;E'!AF15</f>
        <v>603500</v>
      </c>
      <c r="F15" s="186">
        <f t="shared" si="0"/>
        <v>91283.86387724732</v>
      </c>
      <c r="G15" s="12"/>
      <c r="H15" s="13">
        <f>'FY17 Solicitor R&amp;E'!H15</f>
        <v>2387824.94</v>
      </c>
      <c r="I15" s="176">
        <f>'FY17 Solicitor R&amp;E'!U15</f>
        <v>1948225.06</v>
      </c>
      <c r="J15" s="186">
        <f t="shared" si="1"/>
        <v>439599.87999999989</v>
      </c>
      <c r="K15" s="188" t="s">
        <v>57</v>
      </c>
      <c r="L15" s="12"/>
      <c r="M15" s="13">
        <f>'FY16 Ind. Defense R&amp;E'!I15</f>
        <v>498905.64999999997</v>
      </c>
      <c r="N15" s="176">
        <f>'FY16 Ind. Defense R&amp;E'!AF15</f>
        <v>0</v>
      </c>
      <c r="O15" s="186"/>
      <c r="P15" s="12"/>
      <c r="Q15" s="13">
        <f>'FY16 Solicitor R&amp;E'!H15</f>
        <v>1818796.81</v>
      </c>
      <c r="R15" s="176">
        <f>'FY16 Solicitor R&amp;E'!U15</f>
        <v>1698223</v>
      </c>
      <c r="S15" s="186">
        <f t="shared" si="2"/>
        <v>120573.81000000006</v>
      </c>
      <c r="T15" s="188"/>
    </row>
    <row r="16" spans="1:20" ht="13.5" thickBot="1" x14ac:dyDescent="0.25">
      <c r="A16" s="79">
        <v>3</v>
      </c>
      <c r="B16" s="43" t="s">
        <v>11</v>
      </c>
      <c r="C16" s="12"/>
      <c r="D16" s="178">
        <f>'FY17 Ind. Defense R&amp;E'!I16</f>
        <v>173536.45598427713</v>
      </c>
      <c r="E16" s="179">
        <f>'FY17 Ind. Defense R&amp;E'!AF16</f>
        <v>143538.08999999997</v>
      </c>
      <c r="F16" s="187">
        <f t="shared" si="0"/>
        <v>29998.365984277159</v>
      </c>
      <c r="G16" s="12"/>
      <c r="H16" s="178">
        <f>'FY17 Solicitor R&amp;E'!H16</f>
        <v>0</v>
      </c>
      <c r="I16" s="179">
        <f>'FY17 Solicitor R&amp;E'!U16</f>
        <v>0</v>
      </c>
      <c r="J16" s="187">
        <f t="shared" si="1"/>
        <v>0</v>
      </c>
      <c r="K16" s="188"/>
      <c r="L16" s="12"/>
      <c r="M16" s="178">
        <f>'FY16 Ind. Defense R&amp;E'!I16</f>
        <v>119597.31999999999</v>
      </c>
      <c r="N16" s="179">
        <f>'FY16 Ind. Defense R&amp;E'!AF16</f>
        <v>0</v>
      </c>
      <c r="O16" s="187"/>
      <c r="P16" s="12"/>
      <c r="Q16" s="178">
        <f>'FY16 Solicitor R&amp;E'!H16</f>
        <v>0</v>
      </c>
      <c r="R16" s="179">
        <f>'FY16 Solicitor R&amp;E'!U16</f>
        <v>0</v>
      </c>
      <c r="S16" s="187">
        <f t="shared" si="2"/>
        <v>0</v>
      </c>
      <c r="T16" s="188"/>
    </row>
    <row r="17" spans="1:20" ht="13.5" thickTop="1" x14ac:dyDescent="0.2">
      <c r="A17" s="44"/>
      <c r="B17" s="45" t="s">
        <v>4</v>
      </c>
      <c r="C17" s="12"/>
      <c r="D17" s="13">
        <f>'FY17 Ind. Defense R&amp;E'!I17</f>
        <v>1206367.938118038</v>
      </c>
      <c r="E17" s="176">
        <f>'FY17 Ind. Defense R&amp;E'!AF17</f>
        <v>1080838.53</v>
      </c>
      <c r="F17" s="186">
        <f t="shared" si="0"/>
        <v>125529.40811803797</v>
      </c>
      <c r="G17" s="12"/>
      <c r="H17" s="13">
        <f>'FY17 Solicitor R&amp;E'!H17</f>
        <v>2387824.94</v>
      </c>
      <c r="I17" s="176">
        <f>'FY17 Solicitor R&amp;E'!U17</f>
        <v>1948225.06</v>
      </c>
      <c r="J17" s="186">
        <f t="shared" si="1"/>
        <v>439599.87999999989</v>
      </c>
      <c r="K17" s="188"/>
      <c r="L17" s="12"/>
      <c r="M17" s="13">
        <f>'FY16 Ind. Defense R&amp;E'!I17</f>
        <v>871635.96</v>
      </c>
      <c r="N17" s="176">
        <f>'FY16 Ind. Defense R&amp;E'!AF17</f>
        <v>926496.23</v>
      </c>
      <c r="O17" s="186">
        <f t="shared" si="3"/>
        <v>-54860.270000000019</v>
      </c>
      <c r="P17" s="12"/>
      <c r="Q17" s="13">
        <f>'FY16 Solicitor R&amp;E'!H17</f>
        <v>1818796.81</v>
      </c>
      <c r="R17" s="176">
        <f>'FY16 Solicitor R&amp;E'!U17</f>
        <v>1698223</v>
      </c>
      <c r="S17" s="186">
        <f t="shared" si="2"/>
        <v>120573.81000000006</v>
      </c>
      <c r="T17" s="188"/>
    </row>
    <row r="18" spans="1:20" x14ac:dyDescent="0.2">
      <c r="A18" s="149"/>
      <c r="B18" s="150"/>
      <c r="C18" s="12"/>
      <c r="D18" s="145"/>
      <c r="E18" s="145"/>
      <c r="F18" s="145"/>
      <c r="G18" s="12"/>
      <c r="H18" s="145"/>
      <c r="I18" s="145"/>
      <c r="J18" s="145"/>
      <c r="K18" s="146"/>
      <c r="L18" s="12"/>
      <c r="M18" s="145"/>
      <c r="N18" s="145"/>
      <c r="O18" s="145"/>
      <c r="P18" s="12"/>
      <c r="Q18" s="145"/>
      <c r="R18" s="145"/>
      <c r="S18" s="145"/>
      <c r="T18" s="146"/>
    </row>
    <row r="19" spans="1:20" x14ac:dyDescent="0.2">
      <c r="A19" s="79">
        <v>4</v>
      </c>
      <c r="B19" s="43" t="s">
        <v>12</v>
      </c>
      <c r="C19" s="12"/>
      <c r="D19" s="13">
        <f>'FY17 Ind. Defense R&amp;E'!I19</f>
        <v>310881.95546492771</v>
      </c>
      <c r="E19" s="176">
        <f>'FY17 Ind. Defense R&amp;E'!AF19</f>
        <v>206238.18000000002</v>
      </c>
      <c r="F19" s="186">
        <f t="shared" si="0"/>
        <v>104643.77546492769</v>
      </c>
      <c r="G19" s="12"/>
      <c r="H19" s="13">
        <f>'FY17 Solicitor R&amp;E'!H19</f>
        <v>147178</v>
      </c>
      <c r="I19" s="176">
        <f>'FY17 Solicitor R&amp;E'!U19</f>
        <v>0</v>
      </c>
      <c r="J19" s="186"/>
      <c r="K19" s="188"/>
      <c r="L19" s="12"/>
      <c r="M19" s="13">
        <f>'FY16 Ind. Defense R&amp;E'!I19</f>
        <v>308175.08999999997</v>
      </c>
      <c r="N19" s="176">
        <f>'FY16 Ind. Defense R&amp;E'!AF19</f>
        <v>0</v>
      </c>
      <c r="O19" s="186"/>
      <c r="P19" s="12"/>
      <c r="Q19" s="13">
        <f>'FY16 Solicitor R&amp;E'!H19</f>
        <v>147178</v>
      </c>
      <c r="R19" s="176">
        <f>'FY16 Solicitor R&amp;E'!U19</f>
        <v>0</v>
      </c>
      <c r="S19" s="186"/>
      <c r="T19" s="188"/>
    </row>
    <row r="20" spans="1:20" x14ac:dyDescent="0.2">
      <c r="A20" s="79">
        <v>4</v>
      </c>
      <c r="B20" s="43" t="s">
        <v>13</v>
      </c>
      <c r="C20" s="12"/>
      <c r="D20" s="13">
        <f>'FY17 Ind. Defense R&amp;E'!I20</f>
        <v>492687.7796954402</v>
      </c>
      <c r="E20" s="176">
        <f>'FY17 Ind. Defense R&amp;E'!AF20</f>
        <v>376536.85000000003</v>
      </c>
      <c r="F20" s="186">
        <f t="shared" si="0"/>
        <v>116150.92969544017</v>
      </c>
      <c r="G20" s="12"/>
      <c r="H20" s="13">
        <f>'FY17 Solicitor R&amp;E'!H20</f>
        <v>137200</v>
      </c>
      <c r="I20" s="176">
        <f>'FY17 Solicitor R&amp;E'!U20</f>
        <v>0</v>
      </c>
      <c r="J20" s="186"/>
      <c r="K20" s="188"/>
      <c r="L20" s="12"/>
      <c r="M20" s="13">
        <f>'FY16 Ind. Defense R&amp;E'!I20</f>
        <v>320068.02</v>
      </c>
      <c r="N20" s="176">
        <f>'FY16 Ind. Defense R&amp;E'!AF20</f>
        <v>0</v>
      </c>
      <c r="O20" s="186"/>
      <c r="P20" s="12"/>
      <c r="Q20" s="13">
        <f>'FY16 Solicitor R&amp;E'!H20</f>
        <v>137200</v>
      </c>
      <c r="R20" s="176">
        <f>'FY16 Solicitor R&amp;E'!U20</f>
        <v>0</v>
      </c>
      <c r="S20" s="186"/>
      <c r="T20" s="188"/>
    </row>
    <row r="21" spans="1:20" x14ac:dyDescent="0.2">
      <c r="A21" s="79">
        <v>4</v>
      </c>
      <c r="B21" s="183" t="s">
        <v>14</v>
      </c>
      <c r="C21" s="12"/>
      <c r="D21" s="13">
        <f>'FY17 Ind. Defense R&amp;E'!I21</f>
        <v>213965.69054899033</v>
      </c>
      <c r="E21" s="176">
        <f>'FY17 Ind. Defense R&amp;E'!AF21</f>
        <v>173517.84999999998</v>
      </c>
      <c r="F21" s="186">
        <f t="shared" si="0"/>
        <v>40447.840548990353</v>
      </c>
      <c r="G21" s="12"/>
      <c r="H21" s="13">
        <f>'FY17 Solicitor R&amp;E'!H21</f>
        <v>90000</v>
      </c>
      <c r="I21" s="176">
        <f>'FY17 Solicitor R&amp;E'!U21</f>
        <v>0</v>
      </c>
      <c r="J21" s="186"/>
      <c r="K21" s="188"/>
      <c r="L21" s="12"/>
      <c r="M21" s="13">
        <f>'FY16 Ind. Defense R&amp;E'!I21</f>
        <v>135726.15999999997</v>
      </c>
      <c r="N21" s="176">
        <f>'FY16 Ind. Defense R&amp;E'!AF21</f>
        <v>0</v>
      </c>
      <c r="O21" s="186"/>
      <c r="P21" s="12"/>
      <c r="Q21" s="13">
        <f>'FY16 Solicitor R&amp;E'!H21</f>
        <v>90000</v>
      </c>
      <c r="R21" s="176">
        <f>'FY16 Solicitor R&amp;E'!U21</f>
        <v>0</v>
      </c>
      <c r="S21" s="186"/>
      <c r="T21" s="188"/>
    </row>
    <row r="22" spans="1:20" ht="13.5" thickBot="1" x14ac:dyDescent="0.25">
      <c r="A22" s="182">
        <v>4</v>
      </c>
      <c r="B22" s="184" t="s">
        <v>15</v>
      </c>
      <c r="C22" s="12"/>
      <c r="D22" s="178">
        <f>'FY17 Ind. Defense R&amp;E'!I22</f>
        <v>184449.37307884527</v>
      </c>
      <c r="E22" s="179">
        <f>'FY17 Ind. Defense R&amp;E'!AF22</f>
        <v>134421.17000000001</v>
      </c>
      <c r="F22" s="187">
        <f t="shared" si="0"/>
        <v>50028.203078845254</v>
      </c>
      <c r="G22" s="12"/>
      <c r="H22" s="178">
        <f>'FY17 Solicitor R&amp;E'!H22</f>
        <v>89000</v>
      </c>
      <c r="I22" s="179">
        <f>'FY17 Solicitor R&amp;E'!U22</f>
        <v>0</v>
      </c>
      <c r="J22" s="187"/>
      <c r="K22" s="188"/>
      <c r="L22" s="12"/>
      <c r="M22" s="178">
        <f>'FY16 Ind. Defense R&amp;E'!I22</f>
        <v>130040.3</v>
      </c>
      <c r="N22" s="179">
        <f>'FY16 Ind. Defense R&amp;E'!AF22</f>
        <v>0</v>
      </c>
      <c r="O22" s="187"/>
      <c r="P22" s="12"/>
      <c r="Q22" s="178">
        <f>'FY16 Solicitor R&amp;E'!H22</f>
        <v>89000</v>
      </c>
      <c r="R22" s="179">
        <f>'FY16 Solicitor R&amp;E'!U22</f>
        <v>0</v>
      </c>
      <c r="S22" s="187"/>
      <c r="T22" s="188"/>
    </row>
    <row r="23" spans="1:20" ht="77.25" thickTop="1" x14ac:dyDescent="0.2">
      <c r="A23" s="44"/>
      <c r="B23" s="181" t="s">
        <v>4</v>
      </c>
      <c r="C23" s="12"/>
      <c r="D23" s="13">
        <f>'FY17 Ind. Defense R&amp;E'!I23</f>
        <v>1201984.7987882034</v>
      </c>
      <c r="E23" s="176">
        <f>'FY17 Ind. Defense R&amp;E'!AF23</f>
        <v>890714.05</v>
      </c>
      <c r="F23" s="186">
        <f t="shared" si="0"/>
        <v>311270.74878820335</v>
      </c>
      <c r="G23" s="12"/>
      <c r="H23" s="13">
        <f>'FY17 Solicitor R&amp;E'!H23</f>
        <v>2254624</v>
      </c>
      <c r="I23" s="176">
        <f>'FY17 Solicitor R&amp;E'!U23</f>
        <v>2002864</v>
      </c>
      <c r="J23" s="186">
        <f t="shared" si="1"/>
        <v>251760</v>
      </c>
      <c r="K23" s="188" t="s">
        <v>58</v>
      </c>
      <c r="L23" s="12"/>
      <c r="M23" s="13">
        <f>'FY16 Ind. Defense R&amp;E'!I23</f>
        <v>894009.57</v>
      </c>
      <c r="N23" s="176">
        <f>'FY16 Ind. Defense R&amp;E'!AF23</f>
        <v>841453.15999999992</v>
      </c>
      <c r="O23" s="186">
        <f t="shared" si="3"/>
        <v>52556.410000000033</v>
      </c>
      <c r="P23" s="12"/>
      <c r="Q23" s="13">
        <f>'FY16 Solicitor R&amp;E'!H23</f>
        <v>2219253</v>
      </c>
      <c r="R23" s="176">
        <f>'FY16 Solicitor R&amp;E'!U23</f>
        <v>1765124</v>
      </c>
      <c r="S23" s="186">
        <f t="shared" si="2"/>
        <v>454129</v>
      </c>
      <c r="T23" s="188" t="s">
        <v>70</v>
      </c>
    </row>
    <row r="24" spans="1:20" x14ac:dyDescent="0.2">
      <c r="A24" s="148"/>
      <c r="B24" s="147"/>
      <c r="C24" s="12"/>
      <c r="D24" s="145"/>
      <c r="E24" s="145"/>
      <c r="F24" s="145"/>
      <c r="G24" s="12"/>
      <c r="H24" s="145"/>
      <c r="I24" s="145"/>
      <c r="J24" s="145"/>
      <c r="K24" s="146"/>
      <c r="L24" s="12"/>
      <c r="M24" s="145"/>
      <c r="N24" s="145"/>
      <c r="O24" s="145"/>
      <c r="P24" s="12"/>
      <c r="Q24" s="145"/>
      <c r="R24" s="145"/>
      <c r="S24" s="145"/>
      <c r="T24" s="146"/>
    </row>
    <row r="25" spans="1:20" x14ac:dyDescent="0.2">
      <c r="A25" s="79">
        <v>5</v>
      </c>
      <c r="B25" s="183" t="s">
        <v>16</v>
      </c>
      <c r="C25" s="12"/>
      <c r="D25" s="13">
        <f>'FY17 Ind. Defense R&amp;E'!I25</f>
        <v>458941.96275344817</v>
      </c>
      <c r="E25" s="176">
        <f>'FY17 Ind. Defense R&amp;E'!AF25</f>
        <v>337730.74000000005</v>
      </c>
      <c r="F25" s="186">
        <f t="shared" si="0"/>
        <v>121211.22275344812</v>
      </c>
      <c r="G25" s="12"/>
      <c r="H25" s="13">
        <f>'FY17 Solicitor R&amp;E'!H25</f>
        <v>4140130.29</v>
      </c>
      <c r="I25" s="176">
        <f>'FY17 Solicitor R&amp;E'!U25</f>
        <v>3917909.76</v>
      </c>
      <c r="J25" s="186">
        <f t="shared" si="1"/>
        <v>222220.53000000026</v>
      </c>
      <c r="K25" s="188"/>
      <c r="L25" s="12"/>
      <c r="M25" s="13">
        <f>'FY16 Ind. Defense R&amp;E'!I25</f>
        <v>307265.61</v>
      </c>
      <c r="N25" s="176">
        <f>'FY16 Ind. Defense R&amp;E'!AF25</f>
        <v>0</v>
      </c>
      <c r="O25" s="186"/>
      <c r="P25" s="12"/>
      <c r="Q25" s="13">
        <f>'FY16 Solicitor R&amp;E'!H25</f>
        <v>3293356.02</v>
      </c>
      <c r="R25" s="176">
        <f>'FY16 Solicitor R&amp;E'!U25</f>
        <v>3861892.7</v>
      </c>
      <c r="S25" s="186">
        <f t="shared" si="2"/>
        <v>-568536.68000000017</v>
      </c>
      <c r="T25" s="188"/>
    </row>
    <row r="26" spans="1:20" ht="13.5" thickBot="1" x14ac:dyDescent="0.25">
      <c r="A26" s="182">
        <v>5</v>
      </c>
      <c r="B26" s="184" t="s">
        <v>17</v>
      </c>
      <c r="C26" s="12"/>
      <c r="D26" s="178">
        <f>'FY17 Ind. Defense R&amp;E'!I26</f>
        <v>3270250.4578269906</v>
      </c>
      <c r="E26" s="179">
        <f>'FY17 Ind. Defense R&amp;E'!AF26</f>
        <v>3076591.6399999992</v>
      </c>
      <c r="F26" s="187">
        <f t="shared" si="0"/>
        <v>193658.81782699144</v>
      </c>
      <c r="G26" s="12"/>
      <c r="H26" s="178">
        <f>'FY17 Solicitor R&amp;E'!H26</f>
        <v>5187346.0599999996</v>
      </c>
      <c r="I26" s="179">
        <f>'FY17 Solicitor R&amp;E'!U26</f>
        <v>4269891.96</v>
      </c>
      <c r="J26" s="187">
        <f t="shared" si="1"/>
        <v>917454.09999999963</v>
      </c>
      <c r="K26" s="188"/>
      <c r="L26" s="12"/>
      <c r="M26" s="178">
        <f>'FY16 Ind. Defense R&amp;E'!I26</f>
        <v>2659751.69</v>
      </c>
      <c r="N26" s="179">
        <f>'FY16 Ind. Defense R&amp;E'!AF26</f>
        <v>0</v>
      </c>
      <c r="O26" s="187"/>
      <c r="P26" s="12"/>
      <c r="Q26" s="178">
        <f>'FY16 Solicitor R&amp;E'!H26</f>
        <v>4593173.7</v>
      </c>
      <c r="R26" s="179">
        <f>'FY16 Solicitor R&amp;E'!U26</f>
        <v>4073295.7</v>
      </c>
      <c r="S26" s="187">
        <f t="shared" si="2"/>
        <v>519878</v>
      </c>
      <c r="T26" s="188"/>
    </row>
    <row r="27" spans="1:20" ht="13.5" thickTop="1" x14ac:dyDescent="0.2">
      <c r="A27" s="44"/>
      <c r="B27" s="181" t="s">
        <v>4</v>
      </c>
      <c r="C27" s="12"/>
      <c r="D27" s="13">
        <f>'FY17 Ind. Defense R&amp;E'!I27</f>
        <v>3729192.4205804383</v>
      </c>
      <c r="E27" s="176">
        <f>'FY17 Ind. Defense R&amp;E'!AF27</f>
        <v>3414322.3799999994</v>
      </c>
      <c r="F27" s="186">
        <f t="shared" si="0"/>
        <v>314870.04058043892</v>
      </c>
      <c r="G27" s="12"/>
      <c r="H27" s="13">
        <f>'FY17 Solicitor R&amp;E'!H27</f>
        <v>9327476.3499999996</v>
      </c>
      <c r="I27" s="176">
        <f>'FY17 Solicitor R&amp;E'!U27</f>
        <v>8187801.7199999988</v>
      </c>
      <c r="J27" s="186">
        <f t="shared" si="1"/>
        <v>1139674.6300000008</v>
      </c>
      <c r="K27" s="188"/>
      <c r="L27" s="12"/>
      <c r="M27" s="13">
        <f>'FY16 Ind. Defense R&amp;E'!I27</f>
        <v>2967017.3</v>
      </c>
      <c r="N27" s="176">
        <f>'FY16 Ind. Defense R&amp;E'!AF27</f>
        <v>3145171.9199999995</v>
      </c>
      <c r="O27" s="186">
        <f t="shared" si="3"/>
        <v>-178154.61999999965</v>
      </c>
      <c r="P27" s="12"/>
      <c r="Q27" s="13">
        <f>'FY16 Solicitor R&amp;E'!H27</f>
        <v>7886529.7199999997</v>
      </c>
      <c r="R27" s="176">
        <f>'FY16 Solicitor R&amp;E'!U27</f>
        <v>7935188.4000000004</v>
      </c>
      <c r="S27" s="186">
        <f t="shared" si="2"/>
        <v>-48658.680000000633</v>
      </c>
      <c r="T27" s="188"/>
    </row>
    <row r="28" spans="1:20" x14ac:dyDescent="0.2">
      <c r="A28" s="148"/>
      <c r="B28" s="147"/>
      <c r="C28" s="12"/>
      <c r="D28" s="145"/>
      <c r="E28" s="145"/>
      <c r="F28" s="145"/>
      <c r="G28" s="12"/>
      <c r="H28" s="145"/>
      <c r="I28" s="145"/>
      <c r="J28" s="145"/>
      <c r="K28" s="146"/>
      <c r="L28" s="12"/>
      <c r="M28" s="145"/>
      <c r="N28" s="145"/>
      <c r="O28" s="145"/>
      <c r="P28" s="12"/>
      <c r="Q28" s="145"/>
      <c r="R28" s="145"/>
      <c r="S28" s="145"/>
      <c r="T28" s="146"/>
    </row>
    <row r="29" spans="1:20" x14ac:dyDescent="0.2">
      <c r="A29" s="79">
        <v>6</v>
      </c>
      <c r="B29" s="43" t="s">
        <v>18</v>
      </c>
      <c r="C29" s="12"/>
      <c r="D29" s="13">
        <f>'FY17 Ind. Defense R&amp;E'!I29</f>
        <v>247182.68806666892</v>
      </c>
      <c r="E29" s="176">
        <f>'FY17 Ind. Defense R&amp;E'!AF29</f>
        <v>2657.7809999999999</v>
      </c>
      <c r="F29" s="186">
        <f t="shared" si="0"/>
        <v>244524.90706666894</v>
      </c>
      <c r="G29" s="12"/>
      <c r="H29" s="13">
        <f>'FY17 Solicitor R&amp;E'!H29</f>
        <v>1607492.8900000001</v>
      </c>
      <c r="I29" s="176">
        <f>'FY17 Solicitor R&amp;E'!U29</f>
        <v>2021952.5899999999</v>
      </c>
      <c r="J29" s="186">
        <f t="shared" si="1"/>
        <v>-414459.69999999972</v>
      </c>
      <c r="K29" s="188"/>
      <c r="L29" s="12"/>
      <c r="M29" s="13">
        <f>'FY16 Ind. Defense R&amp;E'!I29</f>
        <v>185453.93</v>
      </c>
      <c r="N29" s="176">
        <f>'FY16 Ind. Defense R&amp;E'!AF29</f>
        <v>0</v>
      </c>
      <c r="O29" s="186"/>
      <c r="P29" s="12"/>
      <c r="Q29" s="13">
        <f>'FY16 Solicitor R&amp;E'!H29</f>
        <v>995972.54</v>
      </c>
      <c r="R29" s="176">
        <f>'FY16 Solicitor R&amp;E'!U29</f>
        <v>0</v>
      </c>
      <c r="S29" s="186"/>
      <c r="T29" s="188"/>
    </row>
    <row r="30" spans="1:20" x14ac:dyDescent="0.2">
      <c r="A30" s="79">
        <v>6</v>
      </c>
      <c r="B30" s="183" t="s">
        <v>19</v>
      </c>
      <c r="C30" s="12"/>
      <c r="D30" s="13">
        <f>'FY17 Ind. Defense R&amp;E'!I30</f>
        <v>166201.7741498226</v>
      </c>
      <c r="E30" s="176">
        <f>'FY17 Ind. Defense R&amp;E'!AF30</f>
        <v>8385.9500000000007</v>
      </c>
      <c r="F30" s="186">
        <f t="shared" si="0"/>
        <v>157815.82414982258</v>
      </c>
      <c r="G30" s="12"/>
      <c r="H30" s="13">
        <f>'FY17 Solicitor R&amp;E'!H30</f>
        <v>92055</v>
      </c>
      <c r="I30" s="176">
        <f>'FY17 Solicitor R&amp;E'!U30</f>
        <v>0</v>
      </c>
      <c r="J30" s="186">
        <f t="shared" si="1"/>
        <v>92055</v>
      </c>
      <c r="K30" s="188"/>
      <c r="L30" s="12"/>
      <c r="M30" s="13">
        <f>'FY16 Ind. Defense R&amp;E'!I30</f>
        <v>125063.94</v>
      </c>
      <c r="N30" s="176">
        <f>'FY16 Ind. Defense R&amp;E'!AF30</f>
        <v>0</v>
      </c>
      <c r="O30" s="186"/>
      <c r="P30" s="12"/>
      <c r="Q30" s="13">
        <f>'FY16 Solicitor R&amp;E'!H30</f>
        <v>98871.8</v>
      </c>
      <c r="R30" s="176">
        <f>'FY16 Solicitor R&amp;E'!U30</f>
        <v>0</v>
      </c>
      <c r="S30" s="186"/>
      <c r="T30" s="188"/>
    </row>
    <row r="31" spans="1:20" ht="13.5" thickBot="1" x14ac:dyDescent="0.25">
      <c r="A31" s="182">
        <v>6</v>
      </c>
      <c r="B31" s="184" t="s">
        <v>20</v>
      </c>
      <c r="C31" s="12"/>
      <c r="D31" s="178">
        <f>'FY17 Ind. Defense R&amp;E'!I31</f>
        <v>602881.04241660552</v>
      </c>
      <c r="E31" s="179">
        <f>'FY17 Ind. Defense R&amp;E'!AF31</f>
        <v>889114.42</v>
      </c>
      <c r="F31" s="187">
        <f t="shared" si="0"/>
        <v>-286233.37758339453</v>
      </c>
      <c r="G31" s="12"/>
      <c r="H31" s="178">
        <f>'FY17 Solicitor R&amp;E'!H31</f>
        <v>398409.7</v>
      </c>
      <c r="I31" s="179">
        <f>'FY17 Solicitor R&amp;E'!U31</f>
        <v>0</v>
      </c>
      <c r="J31" s="187">
        <f t="shared" si="1"/>
        <v>398409.7</v>
      </c>
      <c r="K31" s="188"/>
      <c r="L31" s="12"/>
      <c r="M31" s="178">
        <f>'FY16 Ind. Defense R&amp;E'!I31</f>
        <v>465386.14</v>
      </c>
      <c r="N31" s="179">
        <f>'FY16 Ind. Defense R&amp;E'!AF31</f>
        <v>0</v>
      </c>
      <c r="O31" s="187"/>
      <c r="P31" s="12"/>
      <c r="Q31" s="178">
        <f>'FY16 Solicitor R&amp;E'!H31</f>
        <v>415395</v>
      </c>
      <c r="R31" s="179">
        <f>'FY16 Solicitor R&amp;E'!U31</f>
        <v>0</v>
      </c>
      <c r="S31" s="187"/>
      <c r="T31" s="188"/>
    </row>
    <row r="32" spans="1:20" ht="39" thickTop="1" x14ac:dyDescent="0.2">
      <c r="A32" s="44"/>
      <c r="B32" s="181" t="s">
        <v>4</v>
      </c>
      <c r="C32" s="12"/>
      <c r="D32" s="13">
        <f>'FY17 Ind. Defense R&amp;E'!I32</f>
        <v>1016265.504633097</v>
      </c>
      <c r="E32" s="176">
        <f>'FY17 Ind. Defense R&amp;E'!AF32</f>
        <v>900158.15099999984</v>
      </c>
      <c r="F32" s="186">
        <f t="shared" si="0"/>
        <v>116107.35363309714</v>
      </c>
      <c r="G32" s="12"/>
      <c r="H32" s="13">
        <f>'FY17 Solicitor R&amp;E'!H32</f>
        <v>2097957.59</v>
      </c>
      <c r="I32" s="176">
        <f>'FY17 Solicitor R&amp;E'!U32</f>
        <v>2021952.5899999999</v>
      </c>
      <c r="J32" s="186">
        <f t="shared" si="1"/>
        <v>76005</v>
      </c>
      <c r="K32" s="188"/>
      <c r="L32" s="12"/>
      <c r="M32" s="13">
        <f>'FY16 Ind. Defense R&amp;E'!I32</f>
        <v>775904.01</v>
      </c>
      <c r="N32" s="176">
        <f>'FY16 Ind. Defense R&amp;E'!AF32</f>
        <v>893102.9700000002</v>
      </c>
      <c r="O32" s="186">
        <f t="shared" si="3"/>
        <v>-117198.9600000002</v>
      </c>
      <c r="P32" s="12"/>
      <c r="Q32" s="13">
        <f>'FY16 Solicitor R&amp;E'!H32</f>
        <v>1510239.34</v>
      </c>
      <c r="R32" s="176">
        <f>'FY16 Solicitor R&amp;E'!U32</f>
        <v>1502649.74</v>
      </c>
      <c r="S32" s="186">
        <f t="shared" si="2"/>
        <v>7589.6000000000931</v>
      </c>
      <c r="T32" s="188" t="s">
        <v>71</v>
      </c>
    </row>
    <row r="33" spans="1:20" x14ac:dyDescent="0.2">
      <c r="A33" s="148"/>
      <c r="B33" s="147"/>
      <c r="C33" s="12"/>
      <c r="D33" s="145"/>
      <c r="E33" s="145"/>
      <c r="F33" s="145"/>
      <c r="G33" s="12"/>
      <c r="H33" s="145"/>
      <c r="I33" s="145"/>
      <c r="J33" s="145"/>
      <c r="K33" s="146"/>
      <c r="L33" s="12"/>
      <c r="M33" s="145"/>
      <c r="N33" s="145"/>
      <c r="O33" s="145"/>
      <c r="P33" s="12"/>
      <c r="Q33" s="145"/>
      <c r="R33" s="145"/>
      <c r="S33" s="145"/>
      <c r="T33" s="146"/>
    </row>
    <row r="34" spans="1:20" x14ac:dyDescent="0.2">
      <c r="A34" s="79">
        <v>7</v>
      </c>
      <c r="B34" s="183" t="s">
        <v>21</v>
      </c>
      <c r="C34" s="12"/>
      <c r="D34" s="13">
        <f>'FY17 Ind. Defense R&amp;E'!I34</f>
        <v>373785.08035563037</v>
      </c>
      <c r="E34" s="176">
        <f>'FY17 Ind. Defense R&amp;E'!AF34</f>
        <v>366604.66000000003</v>
      </c>
      <c r="F34" s="186">
        <f t="shared" si="0"/>
        <v>7180.4203556303401</v>
      </c>
      <c r="G34" s="12"/>
      <c r="H34" s="13">
        <f>'FY17 Solicitor R&amp;E'!H34</f>
        <v>60000</v>
      </c>
      <c r="I34" s="176">
        <f>'FY17 Solicitor R&amp;E'!U34</f>
        <v>80839.739999999991</v>
      </c>
      <c r="J34" s="186">
        <f t="shared" si="1"/>
        <v>-20839.739999999991</v>
      </c>
      <c r="K34" s="188"/>
      <c r="L34" s="12"/>
      <c r="M34" s="13">
        <f>'FY16 Ind. Defense R&amp;E'!I34</f>
        <v>281066.93</v>
      </c>
      <c r="N34" s="176">
        <f>'FY16 Ind. Defense R&amp;E'!AF34</f>
        <v>0</v>
      </c>
      <c r="O34" s="13"/>
      <c r="P34" s="12"/>
      <c r="Q34" s="13">
        <f>'FY16 Solicitor R&amp;E'!H34</f>
        <v>63107.09</v>
      </c>
      <c r="R34" s="176">
        <f>'FY16 Solicitor R&amp;E'!U34</f>
        <v>63107.09</v>
      </c>
      <c r="S34" s="186">
        <f t="shared" si="2"/>
        <v>0</v>
      </c>
      <c r="T34" s="188"/>
    </row>
    <row r="35" spans="1:20" ht="13.5" thickBot="1" x14ac:dyDescent="0.25">
      <c r="A35" s="182">
        <v>7</v>
      </c>
      <c r="B35" s="184" t="s">
        <v>22</v>
      </c>
      <c r="C35" s="12"/>
      <c r="D35" s="13">
        <f>'FY17 Ind. Defense R&amp;E'!I35</f>
        <v>2168229.2980135921</v>
      </c>
      <c r="E35" s="176">
        <f>'FY17 Ind. Defense R&amp;E'!AF35</f>
        <v>2048412.9299999997</v>
      </c>
      <c r="F35" s="187">
        <f t="shared" si="0"/>
        <v>119816.36801359244</v>
      </c>
      <c r="G35" s="12"/>
      <c r="H35" s="178">
        <f>'FY17 Solicitor R&amp;E'!H35</f>
        <v>2525316.2400000002</v>
      </c>
      <c r="I35" s="179">
        <f>'FY17 Solicitor R&amp;E'!U35</f>
        <v>5461024.8300000001</v>
      </c>
      <c r="J35" s="187">
        <f t="shared" si="1"/>
        <v>-2935708.59</v>
      </c>
      <c r="K35" s="188"/>
      <c r="L35" s="12"/>
      <c r="M35" s="178">
        <f>'FY16 Ind. Defense R&amp;E'!I35</f>
        <v>1840868.35</v>
      </c>
      <c r="N35" s="179">
        <f>'FY16 Ind. Defense R&amp;E'!AF35</f>
        <v>0</v>
      </c>
      <c r="O35" s="187"/>
      <c r="P35" s="12"/>
      <c r="Q35" s="178">
        <f>'FY16 Solicitor R&amp;E'!H35</f>
        <v>3920717</v>
      </c>
      <c r="R35" s="179">
        <f>'FY16 Solicitor R&amp;E'!U35</f>
        <v>3727430</v>
      </c>
      <c r="S35" s="187">
        <f t="shared" si="2"/>
        <v>193287</v>
      </c>
      <c r="T35" s="188"/>
    </row>
    <row r="36" spans="1:20" ht="153.75" thickTop="1" x14ac:dyDescent="0.2">
      <c r="A36" s="44"/>
      <c r="B36" s="181" t="s">
        <v>4</v>
      </c>
      <c r="C36" s="12"/>
      <c r="D36" s="13">
        <f>'FY17 Ind. Defense R&amp;E'!I36</f>
        <v>2542014.3783692224</v>
      </c>
      <c r="E36" s="176">
        <f>'FY17 Ind. Defense R&amp;E'!AF36</f>
        <v>2415017.5900000008</v>
      </c>
      <c r="F36" s="186">
        <f t="shared" si="0"/>
        <v>126996.78836922161</v>
      </c>
      <c r="G36" s="12"/>
      <c r="H36" s="13">
        <f>'FY17 Solicitor R&amp;E'!H36</f>
        <v>2585316.2400000002</v>
      </c>
      <c r="I36" s="176">
        <f>'FY17 Solicitor R&amp;E'!U36</f>
        <v>5541864.5699999994</v>
      </c>
      <c r="J36" s="186">
        <f t="shared" si="1"/>
        <v>-2956548.3299999991</v>
      </c>
      <c r="K36" s="188" t="s">
        <v>171</v>
      </c>
      <c r="L36" s="12"/>
      <c r="M36" s="13">
        <f>'FY16 Ind. Defense R&amp;E'!I36</f>
        <v>2121935.2800000003</v>
      </c>
      <c r="N36" s="176">
        <f>'FY16 Ind. Defense R&amp;E'!AF36</f>
        <v>2109030.91</v>
      </c>
      <c r="O36" s="186">
        <f t="shared" si="3"/>
        <v>12904.370000000112</v>
      </c>
      <c r="P36" s="12"/>
      <c r="Q36" s="13">
        <f>'FY16 Solicitor R&amp;E'!H36</f>
        <v>3983824.09</v>
      </c>
      <c r="R36" s="176">
        <f>'FY16 Solicitor R&amp;E'!U36</f>
        <v>3790537.09</v>
      </c>
      <c r="S36" s="186">
        <f t="shared" si="2"/>
        <v>193287</v>
      </c>
      <c r="T36" s="188" t="s">
        <v>170</v>
      </c>
    </row>
    <row r="37" spans="1:20" x14ac:dyDescent="0.2">
      <c r="A37" s="148"/>
      <c r="B37" s="147"/>
      <c r="C37" s="12"/>
      <c r="D37" s="145"/>
      <c r="E37" s="145"/>
      <c r="F37" s="145"/>
      <c r="G37" s="12"/>
      <c r="H37" s="145"/>
      <c r="I37" s="145"/>
      <c r="J37" s="145"/>
      <c r="K37" s="146"/>
      <c r="L37" s="12"/>
      <c r="M37" s="145"/>
      <c r="N37" s="145"/>
      <c r="O37" s="145"/>
      <c r="P37" s="12"/>
      <c r="Q37" s="145"/>
      <c r="R37" s="145"/>
      <c r="S37" s="145"/>
      <c r="T37" s="146"/>
    </row>
    <row r="38" spans="1:20" x14ac:dyDescent="0.2">
      <c r="A38" s="79">
        <v>8</v>
      </c>
      <c r="B38" s="43" t="s">
        <v>23</v>
      </c>
      <c r="C38" s="12"/>
      <c r="D38" s="13">
        <f>'FY17 Ind. Defense R&amp;E'!I38</f>
        <v>133405.18173175992</v>
      </c>
      <c r="E38" s="176">
        <f>'FY17 Ind. Defense R&amp;E'!AF38</f>
        <v>99279.12</v>
      </c>
      <c r="F38" s="186">
        <f t="shared" si="0"/>
        <v>34126.061731759924</v>
      </c>
      <c r="G38" s="12"/>
      <c r="H38" s="13">
        <f>'FY17 Solicitor R&amp;E'!H38</f>
        <v>41200</v>
      </c>
      <c r="I38" s="176">
        <f>'FY17 Solicitor R&amp;E'!U38</f>
        <v>0</v>
      </c>
      <c r="J38" s="186"/>
      <c r="K38" s="188"/>
      <c r="L38" s="12"/>
      <c r="M38" s="13">
        <f>'FY16 Ind. Defense R&amp;E'!I38</f>
        <v>91578.05</v>
      </c>
      <c r="N38" s="176">
        <f>'FY16 Ind. Defense R&amp;E'!AF38</f>
        <v>0</v>
      </c>
      <c r="O38" s="186"/>
      <c r="P38" s="12"/>
      <c r="Q38" s="13">
        <f>'FY16 Solicitor R&amp;E'!H38</f>
        <v>0</v>
      </c>
      <c r="R38" s="176">
        <f>'FY16 Solicitor R&amp;E'!U38</f>
        <v>0</v>
      </c>
      <c r="S38" s="186">
        <f t="shared" si="2"/>
        <v>0</v>
      </c>
      <c r="T38" s="188"/>
    </row>
    <row r="39" spans="1:20" ht="25.5" x14ac:dyDescent="0.2">
      <c r="A39" s="79">
        <v>8</v>
      </c>
      <c r="B39" s="43" t="s">
        <v>24</v>
      </c>
      <c r="C39" s="12"/>
      <c r="D39" s="13">
        <f>'FY17 Ind. Defense R&amp;E'!I39</f>
        <v>413221.41380242078</v>
      </c>
      <c r="E39" s="176">
        <f>'FY17 Ind. Defense R&amp;E'!AF39</f>
        <v>337236.60999999993</v>
      </c>
      <c r="F39" s="186">
        <f t="shared" si="0"/>
        <v>75984.803802420851</v>
      </c>
      <c r="G39" s="12"/>
      <c r="H39" s="13">
        <f>'FY17 Solicitor R&amp;E'!H39</f>
        <v>2629585.65</v>
      </c>
      <c r="I39" s="176">
        <f>'FY17 Solicitor R&amp;E'!U39</f>
        <v>2692705.24</v>
      </c>
      <c r="J39" s="186">
        <f t="shared" si="1"/>
        <v>-63119.590000000317</v>
      </c>
      <c r="K39" s="188" t="s">
        <v>60</v>
      </c>
      <c r="L39" s="12"/>
      <c r="M39" s="13">
        <f>'FY16 Ind. Defense R&amp;E'!I39</f>
        <v>326566.09999999998</v>
      </c>
      <c r="N39" s="176">
        <f>'FY16 Ind. Defense R&amp;E'!AF39</f>
        <v>0</v>
      </c>
      <c r="O39" s="186"/>
      <c r="P39" s="12"/>
      <c r="Q39" s="13">
        <f>'FY16 Solicitor R&amp;E'!H39</f>
        <v>0</v>
      </c>
      <c r="R39" s="176">
        <f>'FY16 Solicitor R&amp;E'!U39</f>
        <v>0</v>
      </c>
      <c r="S39" s="186">
        <f t="shared" si="2"/>
        <v>0</v>
      </c>
      <c r="T39" s="188"/>
    </row>
    <row r="40" spans="1:20" x14ac:dyDescent="0.2">
      <c r="A40" s="79">
        <v>8</v>
      </c>
      <c r="B40" s="183" t="s">
        <v>25</v>
      </c>
      <c r="C40" s="12"/>
      <c r="D40" s="13">
        <f>'FY17 Ind. Defense R&amp;E'!I40</f>
        <v>340363.17609812767</v>
      </c>
      <c r="E40" s="176">
        <f>'FY17 Ind. Defense R&amp;E'!AF40</f>
        <v>379089.65</v>
      </c>
      <c r="F40" s="186">
        <f t="shared" si="0"/>
        <v>-38726.473901872349</v>
      </c>
      <c r="G40" s="12"/>
      <c r="H40" s="13">
        <f>'FY17 Solicitor R&amp;E'!H40</f>
        <v>262000</v>
      </c>
      <c r="I40" s="176">
        <f>'FY17 Solicitor R&amp;E'!U40</f>
        <v>0</v>
      </c>
      <c r="J40" s="186"/>
      <c r="K40" s="188"/>
      <c r="L40" s="12"/>
      <c r="M40" s="13">
        <f>'FY16 Ind. Defense R&amp;E'!I40</f>
        <v>255602.96</v>
      </c>
      <c r="N40" s="176">
        <f>'FY16 Ind. Defense R&amp;E'!AF40</f>
        <v>0</v>
      </c>
      <c r="O40" s="186"/>
      <c r="P40" s="12"/>
      <c r="Q40" s="13">
        <f>'FY16 Solicitor R&amp;E'!H40</f>
        <v>0</v>
      </c>
      <c r="R40" s="176">
        <f>'FY16 Solicitor R&amp;E'!U40</f>
        <v>0</v>
      </c>
      <c r="S40" s="186">
        <f t="shared" si="2"/>
        <v>0</v>
      </c>
      <c r="T40" s="188"/>
    </row>
    <row r="41" spans="1:20" ht="13.5" thickBot="1" x14ac:dyDescent="0.25">
      <c r="A41" s="182">
        <v>8</v>
      </c>
      <c r="B41" s="184" t="s">
        <v>26</v>
      </c>
      <c r="C41" s="12"/>
      <c r="D41" s="13">
        <f>'FY17 Ind. Defense R&amp;E'!I41</f>
        <v>241573.17151492508</v>
      </c>
      <c r="E41" s="176">
        <f>'FY17 Ind. Defense R&amp;E'!AF41</f>
        <v>150123.34999999998</v>
      </c>
      <c r="F41" s="187">
        <f t="shared" si="0"/>
        <v>91449.821514925105</v>
      </c>
      <c r="G41" s="12"/>
      <c r="H41" s="178">
        <f>'FY17 Solicitor R&amp;E'!H41</f>
        <v>121867</v>
      </c>
      <c r="I41" s="179">
        <f>'FY17 Solicitor R&amp;E'!U41</f>
        <v>0</v>
      </c>
      <c r="J41" s="187"/>
      <c r="K41" s="188"/>
      <c r="L41" s="12"/>
      <c r="M41" s="178">
        <f>'FY16 Ind. Defense R&amp;E'!I41</f>
        <v>166083</v>
      </c>
      <c r="N41" s="179">
        <f>'FY16 Ind. Defense R&amp;E'!AF41</f>
        <v>0</v>
      </c>
      <c r="O41" s="187"/>
      <c r="P41" s="12"/>
      <c r="Q41" s="178">
        <f>'FY16 Solicitor R&amp;E'!H41</f>
        <v>0</v>
      </c>
      <c r="R41" s="179">
        <f>'FY16 Solicitor R&amp;E'!U41</f>
        <v>0</v>
      </c>
      <c r="S41" s="187">
        <f t="shared" si="2"/>
        <v>0</v>
      </c>
      <c r="T41" s="188"/>
    </row>
    <row r="42" spans="1:20" ht="64.5" thickTop="1" x14ac:dyDescent="0.2">
      <c r="A42" s="51"/>
      <c r="B42" s="181" t="s">
        <v>4</v>
      </c>
      <c r="C42" s="12"/>
      <c r="D42" s="13">
        <f>'FY17 Ind. Defense R&amp;E'!I42</f>
        <v>1128562.9431472335</v>
      </c>
      <c r="E42" s="176">
        <f>'FY17 Ind. Defense R&amp;E'!AF42</f>
        <v>965728.7300000001</v>
      </c>
      <c r="F42" s="186">
        <f t="shared" si="0"/>
        <v>162834.21314723336</v>
      </c>
      <c r="G42" s="12"/>
      <c r="H42" s="13">
        <f>'FY17 Solicitor R&amp;E'!H42</f>
        <v>3054652.65</v>
      </c>
      <c r="I42" s="176">
        <f>'FY17 Solicitor R&amp;E'!U42</f>
        <v>2692705.24</v>
      </c>
      <c r="J42" s="186">
        <f t="shared" si="1"/>
        <v>361947.40999999968</v>
      </c>
      <c r="K42" s="188"/>
      <c r="L42" s="12"/>
      <c r="M42" s="13">
        <f>'FY16 Ind. Defense R&amp;E'!I42</f>
        <v>839830.11</v>
      </c>
      <c r="N42" s="176">
        <f>'FY16 Ind. Defense R&amp;E'!AF42</f>
        <v>715716.37999999989</v>
      </c>
      <c r="O42" s="186">
        <f t="shared" si="3"/>
        <v>124113.7300000001</v>
      </c>
      <c r="P42" s="12"/>
      <c r="Q42" s="13">
        <f>'FY16 Solicitor R&amp;E'!H42</f>
        <v>2187822.6100000003</v>
      </c>
      <c r="R42" s="176">
        <f>'FY16 Solicitor R&amp;E'!U42</f>
        <v>2236806.65</v>
      </c>
      <c r="S42" s="186">
        <f t="shared" si="2"/>
        <v>-48984.039999999572</v>
      </c>
      <c r="T42" s="188" t="s">
        <v>73</v>
      </c>
    </row>
    <row r="43" spans="1:20" x14ac:dyDescent="0.2">
      <c r="A43" s="148"/>
      <c r="B43" s="147"/>
      <c r="C43" s="12"/>
      <c r="D43" s="145"/>
      <c r="E43" s="145"/>
      <c r="F43" s="145"/>
      <c r="G43" s="12"/>
      <c r="H43" s="145"/>
      <c r="I43" s="145"/>
      <c r="J43" s="145"/>
      <c r="K43" s="146"/>
      <c r="L43" s="12"/>
      <c r="M43" s="145"/>
      <c r="N43" s="145"/>
      <c r="O43" s="145"/>
      <c r="P43" s="12"/>
      <c r="Q43" s="145"/>
      <c r="R43" s="145"/>
      <c r="S43" s="145"/>
      <c r="T43" s="146"/>
    </row>
    <row r="44" spans="1:20" x14ac:dyDescent="0.2">
      <c r="A44" s="79">
        <v>9</v>
      </c>
      <c r="B44" s="183" t="s">
        <v>27</v>
      </c>
      <c r="C44" s="12"/>
      <c r="D44" s="13">
        <f>'FY17 Ind. Defense R&amp;E'!I44</f>
        <v>1252523.35968137</v>
      </c>
      <c r="E44" s="176">
        <f>'FY17 Ind. Defense R&amp;E'!AF44</f>
        <v>1147964.19</v>
      </c>
      <c r="F44" s="186">
        <f t="shared" si="0"/>
        <v>104559.16968137003</v>
      </c>
      <c r="G44" s="12"/>
      <c r="H44" s="13">
        <f>'FY17 Solicitor R&amp;E'!H44</f>
        <v>1840196.27</v>
      </c>
      <c r="I44" s="176">
        <f>'FY17 Solicitor R&amp;E'!U44</f>
        <v>1991295.9400000002</v>
      </c>
      <c r="J44" s="186">
        <f t="shared" si="1"/>
        <v>-151099.67000000016</v>
      </c>
      <c r="K44" s="188"/>
      <c r="L44" s="12"/>
      <c r="M44" s="13">
        <f>'FY16 Ind. Defense R&amp;E'!I44</f>
        <v>953718.36</v>
      </c>
      <c r="N44" s="176">
        <f>'FY16 Ind. Defense R&amp;E'!AF44</f>
        <v>951941</v>
      </c>
      <c r="O44" s="186">
        <f t="shared" si="3"/>
        <v>1777.359999999986</v>
      </c>
      <c r="P44" s="12"/>
      <c r="Q44" s="13">
        <f>'FY16 Solicitor R&amp;E'!H44</f>
        <v>1834176.18</v>
      </c>
      <c r="R44" s="176">
        <f>'FY16 Solicitor R&amp;E'!U44</f>
        <v>1787876.16</v>
      </c>
      <c r="S44" s="186">
        <f t="shared" si="2"/>
        <v>46300.020000000019</v>
      </c>
      <c r="T44" s="188"/>
    </row>
    <row r="45" spans="1:20" ht="13.5" thickBot="1" x14ac:dyDescent="0.25">
      <c r="A45" s="182">
        <v>9</v>
      </c>
      <c r="B45" s="184" t="s">
        <v>28</v>
      </c>
      <c r="C45" s="12"/>
      <c r="D45" s="13">
        <f>'FY17 Ind. Defense R&amp;E'!I45</f>
        <v>5043541.4038485223</v>
      </c>
      <c r="E45" s="176">
        <f>'FY17 Ind. Defense R&amp;E'!AF45</f>
        <v>4771059.3999999994</v>
      </c>
      <c r="F45" s="187">
        <f t="shared" si="0"/>
        <v>272482.0038485229</v>
      </c>
      <c r="G45" s="12"/>
      <c r="H45" s="178">
        <f>'FY17 Solicitor R&amp;E'!H45</f>
        <v>9740096.459999999</v>
      </c>
      <c r="I45" s="179">
        <f>'FY17 Solicitor R&amp;E'!U45</f>
        <v>9120826.0199999996</v>
      </c>
      <c r="J45" s="187">
        <f t="shared" si="1"/>
        <v>619270.43999999948</v>
      </c>
      <c r="K45" s="188"/>
      <c r="L45" s="12"/>
      <c r="M45" s="178">
        <f>'FY16 Ind. Defense R&amp;E'!I45</f>
        <v>4320875.3099999996</v>
      </c>
      <c r="N45" s="179">
        <f>'FY16 Ind. Defense R&amp;E'!AF45</f>
        <v>4353668</v>
      </c>
      <c r="O45" s="187">
        <f t="shared" si="3"/>
        <v>-32792.69000000041</v>
      </c>
      <c r="P45" s="12"/>
      <c r="Q45" s="178">
        <f>'FY16 Solicitor R&amp;E'!H45</f>
        <v>8600738.3099999987</v>
      </c>
      <c r="R45" s="179">
        <f>'FY16 Solicitor R&amp;E'!U45</f>
        <v>8252561.4199999999</v>
      </c>
      <c r="S45" s="187">
        <f t="shared" si="2"/>
        <v>348176.88999999873</v>
      </c>
      <c r="T45" s="188"/>
    </row>
    <row r="46" spans="1:20" ht="13.5" thickTop="1" x14ac:dyDescent="0.2">
      <c r="A46" s="44"/>
      <c r="B46" s="181" t="s">
        <v>4</v>
      </c>
      <c r="C46" s="12"/>
      <c r="D46" s="13">
        <f>'FY17 Ind. Defense R&amp;E'!I46</f>
        <v>6296064.7635298921</v>
      </c>
      <c r="E46" s="176">
        <f>'FY17 Ind. Defense R&amp;E'!AF46</f>
        <v>5919023.5900000017</v>
      </c>
      <c r="F46" s="186">
        <f t="shared" si="0"/>
        <v>377041.17352989037</v>
      </c>
      <c r="G46" s="12"/>
      <c r="H46" s="13">
        <f>'FY17 Solicitor R&amp;E'!H46</f>
        <v>11580292.73</v>
      </c>
      <c r="I46" s="176">
        <f>'FY17 Solicitor R&amp;E'!U46</f>
        <v>11112121.959999999</v>
      </c>
      <c r="J46" s="186">
        <f t="shared" si="1"/>
        <v>468170.77000000142</v>
      </c>
      <c r="K46" s="188"/>
      <c r="L46" s="12"/>
      <c r="M46" s="13">
        <f>'FY16 Ind. Defense R&amp;E'!I46</f>
        <v>5274593.67</v>
      </c>
      <c r="N46" s="180">
        <f>'FY16 Ind. Defense R&amp;E'!AF46</f>
        <v>5305609</v>
      </c>
      <c r="O46" s="186">
        <f t="shared" si="3"/>
        <v>-31015.330000000075</v>
      </c>
      <c r="P46" s="12"/>
      <c r="Q46" s="13">
        <f>'FY16 Solicitor R&amp;E'!H46</f>
        <v>10434914.489999998</v>
      </c>
      <c r="R46" s="176">
        <f>'FY16 Solicitor R&amp;E'!U46</f>
        <v>10040437.58</v>
      </c>
      <c r="S46" s="186">
        <f t="shared" si="2"/>
        <v>394476.90999999829</v>
      </c>
      <c r="T46" s="188"/>
    </row>
    <row r="47" spans="1:20" x14ac:dyDescent="0.2">
      <c r="A47" s="148"/>
      <c r="B47" s="147"/>
      <c r="C47" s="12"/>
      <c r="D47" s="145"/>
      <c r="E47" s="145"/>
      <c r="F47" s="145"/>
      <c r="G47" s="12"/>
      <c r="H47" s="145"/>
      <c r="I47" s="145"/>
      <c r="J47" s="145"/>
      <c r="K47" s="146"/>
      <c r="L47" s="12"/>
      <c r="M47" s="145"/>
      <c r="N47" s="145"/>
      <c r="O47" s="145"/>
      <c r="P47" s="12"/>
      <c r="Q47" s="145"/>
      <c r="R47" s="145"/>
      <c r="S47" s="145"/>
      <c r="T47" s="146"/>
    </row>
    <row r="48" spans="1:20" x14ac:dyDescent="0.2">
      <c r="A48" s="79">
        <v>10</v>
      </c>
      <c r="B48" s="183" t="s">
        <v>29</v>
      </c>
      <c r="C48" s="12"/>
      <c r="D48" s="13">
        <f>'FY17 Ind. Defense R&amp;E'!I48</f>
        <v>1158634.8529620848</v>
      </c>
      <c r="E48" s="176">
        <f>'FY17 Ind. Defense R&amp;E'!AF48</f>
        <v>724893.7200000002</v>
      </c>
      <c r="F48" s="186">
        <f t="shared" si="0"/>
        <v>433741.13296208461</v>
      </c>
      <c r="G48" s="12"/>
      <c r="H48" s="13">
        <f>'FY17 Solicitor R&amp;E'!H48</f>
        <v>3496615</v>
      </c>
      <c r="I48" s="176">
        <f>'FY17 Solicitor R&amp;E'!U48</f>
        <v>4008985</v>
      </c>
      <c r="J48" s="186">
        <f t="shared" si="1"/>
        <v>-512370</v>
      </c>
      <c r="K48" s="188"/>
      <c r="L48" s="12"/>
      <c r="M48" s="13">
        <f>'FY16 Ind. Defense R&amp;E'!I48</f>
        <v>815759.64</v>
      </c>
      <c r="N48" s="176">
        <f>'FY16 Ind. Defense R&amp;E'!AF48</f>
        <v>0</v>
      </c>
      <c r="O48" s="186"/>
      <c r="P48" s="12"/>
      <c r="Q48" s="13">
        <f>'FY16 Solicitor R&amp;E'!H48</f>
        <v>2682916.84</v>
      </c>
      <c r="R48" s="176">
        <f>'FY16 Solicitor R&amp;E'!U48</f>
        <v>3285405.12</v>
      </c>
      <c r="S48" s="186">
        <f t="shared" si="2"/>
        <v>-602488.28000000026</v>
      </c>
      <c r="T48" s="188"/>
    </row>
    <row r="49" spans="1:20" ht="13.5" thickBot="1" x14ac:dyDescent="0.25">
      <c r="A49" s="182">
        <v>10</v>
      </c>
      <c r="B49" s="184" t="s">
        <v>30</v>
      </c>
      <c r="C49" s="12"/>
      <c r="D49" s="13">
        <f>'FY17 Ind. Defense R&amp;E'!I49</f>
        <v>511501.55982425169</v>
      </c>
      <c r="E49" s="176">
        <f>'FY17 Ind. Defense R&amp;E'!AF49</f>
        <v>474986.26</v>
      </c>
      <c r="F49" s="187">
        <f t="shared" si="0"/>
        <v>36515.299824251677</v>
      </c>
      <c r="G49" s="12"/>
      <c r="H49" s="178">
        <f>'FY17 Solicitor R&amp;E'!H49</f>
        <v>869328</v>
      </c>
      <c r="I49" s="179">
        <f>'FY17 Solicitor R&amp;E'!U49</f>
        <v>927993</v>
      </c>
      <c r="J49" s="187">
        <f t="shared" si="1"/>
        <v>-58665</v>
      </c>
      <c r="K49" s="188"/>
      <c r="L49" s="12"/>
      <c r="M49" s="178">
        <f>'FY16 Ind. Defense R&amp;E'!I49</f>
        <v>389322.11</v>
      </c>
      <c r="N49" s="179">
        <f>'FY16 Ind. Defense R&amp;E'!AF49</f>
        <v>0</v>
      </c>
      <c r="O49" s="187"/>
      <c r="P49" s="12"/>
      <c r="Q49" s="178">
        <f>'FY16 Solicitor R&amp;E'!H49</f>
        <v>812149.44</v>
      </c>
      <c r="R49" s="179">
        <f>'FY16 Solicitor R&amp;E'!U49</f>
        <v>862565.63000000012</v>
      </c>
      <c r="S49" s="187">
        <f t="shared" si="2"/>
        <v>-50416.190000000177</v>
      </c>
      <c r="T49" s="188"/>
    </row>
    <row r="50" spans="1:20" ht="13.5" thickTop="1" x14ac:dyDescent="0.2">
      <c r="A50" s="44"/>
      <c r="B50" s="181" t="s">
        <v>4</v>
      </c>
      <c r="C50" s="12"/>
      <c r="D50" s="13">
        <f>'FY17 Ind. Defense R&amp;E'!I50</f>
        <v>1670136.4127863366</v>
      </c>
      <c r="E50" s="176">
        <f>'FY17 Ind. Defense R&amp;E'!AF50</f>
        <v>1199879.98</v>
      </c>
      <c r="F50" s="186">
        <f t="shared" si="0"/>
        <v>470256.43278633663</v>
      </c>
      <c r="G50" s="12"/>
      <c r="H50" s="13">
        <f>'FY17 Solicitor R&amp;E'!H50</f>
        <v>4365943</v>
      </c>
      <c r="I50" s="176">
        <f>'FY17 Solicitor R&amp;E'!U50</f>
        <v>4936978</v>
      </c>
      <c r="J50" s="186">
        <f t="shared" si="1"/>
        <v>-571035</v>
      </c>
      <c r="K50" s="188"/>
      <c r="L50" s="12"/>
      <c r="M50" s="13">
        <f>'FY16 Ind. Defense R&amp;E'!I50</f>
        <v>1205081.75</v>
      </c>
      <c r="N50" s="176">
        <f>'FY16 Ind. Defense R&amp;E'!AF50</f>
        <v>1078459.01</v>
      </c>
      <c r="O50" s="186">
        <f t="shared" si="3"/>
        <v>126622.73999999999</v>
      </c>
      <c r="P50" s="12"/>
      <c r="Q50" s="13">
        <f>'FY16 Solicitor R&amp;E'!H50</f>
        <v>3495066.2800000003</v>
      </c>
      <c r="R50" s="176">
        <f>'FY16 Solicitor R&amp;E'!U50</f>
        <v>4147970.75</v>
      </c>
      <c r="S50" s="186">
        <f t="shared" si="2"/>
        <v>-652904.46999999974</v>
      </c>
      <c r="T50" s="188"/>
    </row>
    <row r="51" spans="1:20" x14ac:dyDescent="0.2">
      <c r="A51" s="148"/>
      <c r="B51" s="147"/>
      <c r="C51" s="12"/>
      <c r="D51" s="145"/>
      <c r="E51" s="145"/>
      <c r="F51" s="145"/>
      <c r="G51" s="12"/>
      <c r="H51" s="145"/>
      <c r="I51" s="145"/>
      <c r="J51" s="145"/>
      <c r="K51" s="146"/>
      <c r="L51" s="12"/>
      <c r="M51" s="145"/>
      <c r="N51" s="145"/>
      <c r="O51" s="145"/>
      <c r="P51" s="12"/>
      <c r="Q51" s="145"/>
      <c r="R51" s="145"/>
      <c r="S51" s="145"/>
      <c r="T51" s="146"/>
    </row>
    <row r="52" spans="1:20" ht="38.25" x14ac:dyDescent="0.2">
      <c r="A52" s="79">
        <v>11</v>
      </c>
      <c r="B52" s="43" t="s">
        <v>31</v>
      </c>
      <c r="C52" s="12"/>
      <c r="D52" s="13">
        <f>'FY17 Ind. Defense R&amp;E'!I52</f>
        <v>136068.99630292883</v>
      </c>
      <c r="E52" s="176">
        <f>'FY17 Ind. Defense R&amp;E'!AF52</f>
        <v>80762.7</v>
      </c>
      <c r="F52" s="186">
        <f t="shared" si="0"/>
        <v>55306.296302928837</v>
      </c>
      <c r="G52" s="12"/>
      <c r="H52" s="13">
        <f>'FY17 Solicitor R&amp;E'!H52</f>
        <v>443429.32</v>
      </c>
      <c r="I52" s="176">
        <f>'FY17 Solicitor R&amp;E'!U52</f>
        <v>1505692.72</v>
      </c>
      <c r="J52" s="186">
        <f t="shared" si="1"/>
        <v>-1062263.3999999999</v>
      </c>
      <c r="K52" s="188" t="s">
        <v>61</v>
      </c>
      <c r="L52" s="12"/>
      <c r="M52" s="13">
        <f>'FY16 Ind. Defense R&amp;E'!I52</f>
        <v>96184.84</v>
      </c>
      <c r="N52" s="176">
        <f>'FY16 Ind. Defense R&amp;E'!AF52</f>
        <v>0</v>
      </c>
      <c r="O52" s="186"/>
      <c r="P52" s="12"/>
      <c r="Q52" s="13">
        <f>'FY16 Solicitor R&amp;E'!H52</f>
        <v>0</v>
      </c>
      <c r="R52" s="176">
        <f>'FY16 Solicitor R&amp;E'!U52</f>
        <v>0</v>
      </c>
      <c r="S52" s="186">
        <f t="shared" si="2"/>
        <v>0</v>
      </c>
      <c r="T52" s="188" t="s">
        <v>74</v>
      </c>
    </row>
    <row r="53" spans="1:20" x14ac:dyDescent="0.2">
      <c r="A53" s="79">
        <v>11</v>
      </c>
      <c r="B53" s="43" t="s">
        <v>32</v>
      </c>
      <c r="C53" s="12"/>
      <c r="D53" s="13">
        <f>'FY17 Ind. Defense R&amp;E'!I53</f>
        <v>1623921.0683313615</v>
      </c>
      <c r="E53" s="176">
        <f>'FY17 Ind. Defense R&amp;E'!AF53</f>
        <v>1487586.48</v>
      </c>
      <c r="F53" s="186">
        <f t="shared" si="0"/>
        <v>136334.58833136153</v>
      </c>
      <c r="G53" s="12"/>
      <c r="H53" s="13">
        <f>'FY17 Solicitor R&amp;E'!H53</f>
        <v>3164602.9000000004</v>
      </c>
      <c r="I53" s="176">
        <f>'FY17 Solicitor R&amp;E'!U53</f>
        <v>3693277.4</v>
      </c>
      <c r="J53" s="186">
        <f t="shared" si="1"/>
        <v>-528674.49999999953</v>
      </c>
      <c r="K53" s="188"/>
      <c r="L53" s="12"/>
      <c r="M53" s="13">
        <f>'FY16 Ind. Defense R&amp;E'!I53</f>
        <v>1212767.33</v>
      </c>
      <c r="N53" s="176">
        <f>'FY16 Ind. Defense R&amp;E'!AF53</f>
        <v>0</v>
      </c>
      <c r="O53" s="13"/>
      <c r="P53" s="12"/>
      <c r="Q53" s="13">
        <f>'FY16 Solicitor R&amp;E'!H53</f>
        <v>0</v>
      </c>
      <c r="R53" s="176">
        <f>'FY16 Solicitor R&amp;E'!U53</f>
        <v>0</v>
      </c>
      <c r="S53" s="186">
        <f t="shared" si="2"/>
        <v>0</v>
      </c>
      <c r="T53" s="188"/>
    </row>
    <row r="54" spans="1:20" x14ac:dyDescent="0.2">
      <c r="A54" s="79">
        <v>11</v>
      </c>
      <c r="B54" s="183" t="s">
        <v>33</v>
      </c>
      <c r="C54" s="12"/>
      <c r="D54" s="13">
        <f>'FY17 Ind. Defense R&amp;E'!I54</f>
        <v>63118.548792583679</v>
      </c>
      <c r="E54" s="176">
        <f>'FY17 Ind. Defense R&amp;E'!AF54</f>
        <v>6607.9400000000005</v>
      </c>
      <c r="F54" s="186">
        <f t="shared" si="0"/>
        <v>56510.608792583676</v>
      </c>
      <c r="G54" s="12"/>
      <c r="H54" s="13">
        <f>'FY17 Solicitor R&amp;E'!H54</f>
        <v>2089060.52</v>
      </c>
      <c r="I54" s="176">
        <f>'FY17 Solicitor R&amp;E'!U54</f>
        <v>0</v>
      </c>
      <c r="J54" s="186">
        <f t="shared" si="1"/>
        <v>2089060.52</v>
      </c>
      <c r="K54" s="188"/>
      <c r="L54" s="12"/>
      <c r="M54" s="13">
        <f>'FY16 Ind. Defense R&amp;E'!I54</f>
        <v>49485.03</v>
      </c>
      <c r="N54" s="176">
        <f>'FY16 Ind. Defense R&amp;E'!AF54</f>
        <v>0</v>
      </c>
      <c r="O54" s="186"/>
      <c r="P54" s="12"/>
      <c r="Q54" s="13">
        <f>'FY16 Solicitor R&amp;E'!H54</f>
        <v>0</v>
      </c>
      <c r="R54" s="176">
        <f>'FY16 Solicitor R&amp;E'!U54</f>
        <v>0</v>
      </c>
      <c r="S54" s="186">
        <f t="shared" si="2"/>
        <v>0</v>
      </c>
      <c r="T54" s="188"/>
    </row>
    <row r="55" spans="1:20" ht="13.5" thickBot="1" x14ac:dyDescent="0.25">
      <c r="A55" s="182">
        <v>11</v>
      </c>
      <c r="B55" s="184" t="s">
        <v>34</v>
      </c>
      <c r="C55" s="12"/>
      <c r="D55" s="13">
        <f>'FY17 Ind. Defense R&amp;E'!I55</f>
        <v>101804.56926146786</v>
      </c>
      <c r="E55" s="176">
        <f>'FY17 Ind. Defense R&amp;E'!AF55</f>
        <v>107772.62999999999</v>
      </c>
      <c r="F55" s="187">
        <f t="shared" si="0"/>
        <v>-5968.0607385321346</v>
      </c>
      <c r="G55" s="12"/>
      <c r="H55" s="178">
        <f>'FY17 Solicitor R&amp;E'!H55</f>
        <v>3700</v>
      </c>
      <c r="I55" s="179">
        <f>'FY17 Solicitor R&amp;E'!U55</f>
        <v>44874.37</v>
      </c>
      <c r="J55" s="187">
        <f t="shared" si="1"/>
        <v>-41174.370000000003</v>
      </c>
      <c r="K55" s="188"/>
      <c r="L55" s="12"/>
      <c r="M55" s="178">
        <f>'FY16 Ind. Defense R&amp;E'!I55</f>
        <v>73061.420000000013</v>
      </c>
      <c r="N55" s="179">
        <f>'FY16 Ind. Defense R&amp;E'!AF55</f>
        <v>0</v>
      </c>
      <c r="O55" s="187"/>
      <c r="P55" s="12"/>
      <c r="Q55" s="178">
        <f>'FY16 Solicitor R&amp;E'!H55</f>
        <v>0</v>
      </c>
      <c r="R55" s="179">
        <f>'FY16 Solicitor R&amp;E'!U55</f>
        <v>0</v>
      </c>
      <c r="S55" s="187">
        <f t="shared" si="2"/>
        <v>0</v>
      </c>
      <c r="T55" s="188"/>
    </row>
    <row r="56" spans="1:20" ht="13.5" thickTop="1" x14ac:dyDescent="0.2">
      <c r="A56" s="79"/>
      <c r="B56" s="181" t="s">
        <v>4</v>
      </c>
      <c r="C56" s="12"/>
      <c r="D56" s="13">
        <f>'FY17 Ind. Defense R&amp;E'!I56</f>
        <v>1924913.1826883417</v>
      </c>
      <c r="E56" s="176">
        <f>'FY17 Ind. Defense R&amp;E'!AF56</f>
        <v>1682729.7499999998</v>
      </c>
      <c r="F56" s="186">
        <f t="shared" si="0"/>
        <v>242183.43268834194</v>
      </c>
      <c r="G56" s="12"/>
      <c r="H56" s="13">
        <f>'FY17 Solicitor R&amp;E'!H56</f>
        <v>5700792.7400000002</v>
      </c>
      <c r="I56" s="176">
        <f>'FY17 Solicitor R&amp;E'!U56</f>
        <v>5243844.49</v>
      </c>
      <c r="J56" s="186">
        <f t="shared" si="1"/>
        <v>456948.25</v>
      </c>
      <c r="K56" s="188"/>
      <c r="L56" s="12"/>
      <c r="M56" s="13">
        <f>'FY16 Ind. Defense R&amp;E'!I56</f>
        <v>1431498.62</v>
      </c>
      <c r="N56" s="176">
        <f>'FY16 Ind. Defense R&amp;E'!AF56</f>
        <v>1469485</v>
      </c>
      <c r="O56" s="186">
        <f t="shared" si="3"/>
        <v>-37986.379999999888</v>
      </c>
      <c r="P56" s="12"/>
      <c r="Q56" s="13">
        <f>'FY16 Solicitor R&amp;E'!H56</f>
        <v>0</v>
      </c>
      <c r="R56" s="176">
        <f>'FY16 Solicitor R&amp;E'!U56</f>
        <v>0</v>
      </c>
      <c r="S56" s="186">
        <f t="shared" si="2"/>
        <v>0</v>
      </c>
      <c r="T56" s="188"/>
    </row>
    <row r="57" spans="1:20" x14ac:dyDescent="0.2">
      <c r="A57" s="148"/>
      <c r="B57" s="147"/>
      <c r="C57" s="12"/>
      <c r="D57" s="145"/>
      <c r="E57" s="145"/>
      <c r="F57" s="186"/>
      <c r="G57" s="12"/>
      <c r="H57" s="145"/>
      <c r="I57" s="145"/>
      <c r="J57" s="186"/>
      <c r="K57" s="188"/>
      <c r="L57" s="12"/>
      <c r="M57" s="145"/>
      <c r="N57" s="145"/>
      <c r="O57" s="186"/>
      <c r="P57" s="12"/>
      <c r="Q57" s="145"/>
      <c r="R57" s="145"/>
      <c r="S57" s="186"/>
      <c r="T57" s="188"/>
    </row>
    <row r="58" spans="1:20" ht="25.5" x14ac:dyDescent="0.2">
      <c r="A58" s="79">
        <v>12</v>
      </c>
      <c r="B58" s="183" t="s">
        <v>35</v>
      </c>
      <c r="C58" s="12"/>
      <c r="D58" s="13">
        <f>'FY17 Ind. Defense R&amp;E'!I58</f>
        <v>1034396.2497286052</v>
      </c>
      <c r="E58" s="176">
        <f>'FY17 Ind. Defense R&amp;E'!AF58</f>
        <v>780946.38</v>
      </c>
      <c r="F58" s="186">
        <f t="shared" si="0"/>
        <v>253449.86972860515</v>
      </c>
      <c r="G58" s="12"/>
      <c r="H58" s="13">
        <f>'FY17 Solicitor R&amp;E'!H58</f>
        <v>2883464</v>
      </c>
      <c r="I58" s="176">
        <f>'FY17 Solicitor R&amp;E'!U58</f>
        <v>2943704</v>
      </c>
      <c r="J58" s="186">
        <f t="shared" si="1"/>
        <v>-60240</v>
      </c>
      <c r="K58" s="188" t="s">
        <v>62</v>
      </c>
      <c r="L58" s="12"/>
      <c r="M58" s="13">
        <f>'FY16 Ind. Defense R&amp;E'!I58</f>
        <v>1088785.26</v>
      </c>
      <c r="N58" s="176">
        <f>'FY16 Ind. Defense R&amp;E'!AF58</f>
        <v>0</v>
      </c>
      <c r="O58" s="186"/>
      <c r="P58" s="12"/>
      <c r="Q58" s="13">
        <f>'FY16 Solicitor R&amp;E'!H58</f>
        <v>2479323</v>
      </c>
      <c r="R58" s="176">
        <f>'FY16 Solicitor R&amp;E'!U58</f>
        <v>2523687</v>
      </c>
      <c r="S58" s="186">
        <f t="shared" si="2"/>
        <v>-44364</v>
      </c>
      <c r="T58" s="188"/>
    </row>
    <row r="59" spans="1:20" ht="13.5" thickBot="1" x14ac:dyDescent="0.25">
      <c r="A59" s="182">
        <v>12</v>
      </c>
      <c r="B59" s="184" t="s">
        <v>36</v>
      </c>
      <c r="C59" s="12"/>
      <c r="D59" s="13">
        <f>'FY17 Ind. Defense R&amp;E'!I59</f>
        <v>201265.64371937863</v>
      </c>
      <c r="E59" s="176">
        <f>'FY17 Ind. Defense R&amp;E'!AF59</f>
        <v>151307.35</v>
      </c>
      <c r="F59" s="187">
        <f t="shared" si="0"/>
        <v>49958.29371937862</v>
      </c>
      <c r="G59" s="12"/>
      <c r="H59" s="178">
        <f>'FY17 Solicitor R&amp;E'!H59</f>
        <v>39288</v>
      </c>
      <c r="I59" s="179">
        <f>'FY17 Solicitor R&amp;E'!U59</f>
        <v>0</v>
      </c>
      <c r="J59" s="187"/>
      <c r="K59" s="188"/>
      <c r="L59" s="12"/>
      <c r="M59" s="178">
        <f>'FY16 Ind. Defense R&amp;E'!I59</f>
        <v>148454.12</v>
      </c>
      <c r="N59" s="179">
        <f>'FY16 Ind. Defense R&amp;E'!AF59</f>
        <v>0</v>
      </c>
      <c r="O59" s="187"/>
      <c r="P59" s="12"/>
      <c r="Q59" s="178">
        <f>'FY16 Solicitor R&amp;E'!H59</f>
        <v>47713</v>
      </c>
      <c r="R59" s="179">
        <f>'FY16 Solicitor R&amp;E'!U59</f>
        <v>0</v>
      </c>
      <c r="S59" s="187">
        <f t="shared" si="2"/>
        <v>47713</v>
      </c>
      <c r="T59" s="188"/>
    </row>
    <row r="60" spans="1:20" ht="13.5" thickTop="1" x14ac:dyDescent="0.2">
      <c r="A60" s="44"/>
      <c r="B60" s="181" t="s">
        <v>4</v>
      </c>
      <c r="C60" s="12"/>
      <c r="D60" s="13">
        <f>'FY17 Ind. Defense R&amp;E'!I60</f>
        <v>1235661.8934479838</v>
      </c>
      <c r="E60" s="176">
        <f>'FY17 Ind. Defense R&amp;E'!AF60</f>
        <v>932253.73</v>
      </c>
      <c r="F60" s="186">
        <f t="shared" si="0"/>
        <v>303408.1634479838</v>
      </c>
      <c r="G60" s="12"/>
      <c r="H60" s="13">
        <f>'FY17 Solicitor R&amp;E'!H60</f>
        <v>2922752</v>
      </c>
      <c r="I60" s="176">
        <f>'FY17 Solicitor R&amp;E'!U60</f>
        <v>2943704</v>
      </c>
      <c r="J60" s="186">
        <f t="shared" si="1"/>
        <v>-20952</v>
      </c>
      <c r="K60" s="188"/>
      <c r="L60" s="12"/>
      <c r="M60" s="13">
        <f>'FY16 Ind. Defense R&amp;E'!I60</f>
        <v>1237239.3799999999</v>
      </c>
      <c r="N60" s="176">
        <f>'FY16 Ind. Defense R&amp;E'!AF60</f>
        <v>865843</v>
      </c>
      <c r="O60" s="186">
        <f t="shared" si="3"/>
        <v>371396.37999999989</v>
      </c>
      <c r="P60" s="12"/>
      <c r="Q60" s="13">
        <f>'FY16 Solicitor R&amp;E'!H60</f>
        <v>2527036</v>
      </c>
      <c r="R60" s="176">
        <f>'FY16 Solicitor R&amp;E'!U60</f>
        <v>2523687</v>
      </c>
      <c r="S60" s="186">
        <f t="shared" si="2"/>
        <v>3349</v>
      </c>
      <c r="T60" s="188"/>
    </row>
    <row r="61" spans="1:20" x14ac:dyDescent="0.2">
      <c r="A61" s="148"/>
      <c r="B61" s="147"/>
      <c r="C61" s="12"/>
      <c r="D61" s="145"/>
      <c r="E61" s="145"/>
      <c r="F61" s="145"/>
      <c r="G61" s="12"/>
      <c r="H61" s="145"/>
      <c r="I61" s="145"/>
      <c r="J61" s="145"/>
      <c r="K61" s="146"/>
      <c r="L61" s="12"/>
      <c r="M61" s="145"/>
      <c r="N61" s="145"/>
      <c r="O61" s="145"/>
      <c r="P61" s="12"/>
      <c r="Q61" s="145"/>
      <c r="R61" s="145"/>
      <c r="S61" s="145"/>
      <c r="T61" s="146"/>
    </row>
    <row r="62" spans="1:20" ht="51" x14ac:dyDescent="0.2">
      <c r="A62" s="79">
        <v>13</v>
      </c>
      <c r="B62" s="183" t="s">
        <v>37</v>
      </c>
      <c r="C62" s="12"/>
      <c r="D62" s="13">
        <f>'FY17 Ind. Defense R&amp;E'!I62</f>
        <v>2813850.9693084694</v>
      </c>
      <c r="E62" s="176">
        <f>'FY17 Ind. Defense R&amp;E'!AF62</f>
        <v>2377121</v>
      </c>
      <c r="F62" s="186">
        <f t="shared" si="0"/>
        <v>436729.96930846944</v>
      </c>
      <c r="G62" s="12"/>
      <c r="H62" s="13">
        <f>'FY17 Solicitor R&amp;E'!H62</f>
        <v>11345568.65</v>
      </c>
      <c r="I62" s="176">
        <f>'FY17 Solicitor R&amp;E'!U62</f>
        <v>10450600.32</v>
      </c>
      <c r="J62" s="186">
        <f t="shared" si="1"/>
        <v>894968.33000000007</v>
      </c>
      <c r="K62" s="188" t="s">
        <v>63</v>
      </c>
      <c r="L62" s="12"/>
      <c r="M62" s="13">
        <f>'FY16 Ind. Defense R&amp;E'!I62</f>
        <v>1897997.06</v>
      </c>
      <c r="N62" s="176">
        <f>'FY16 Ind. Defense R&amp;E'!AF62</f>
        <v>0</v>
      </c>
      <c r="O62" s="186"/>
      <c r="P62" s="12"/>
      <c r="Q62" s="13">
        <f>'FY16 Solicitor R&amp;E'!H62</f>
        <v>10249638.52</v>
      </c>
      <c r="R62" s="176">
        <f>'FY16 Solicitor R&amp;E'!U62</f>
        <v>9737837.9000000004</v>
      </c>
      <c r="S62" s="186">
        <f t="shared" si="2"/>
        <v>511800.61999999918</v>
      </c>
      <c r="T62" s="188" t="s">
        <v>75</v>
      </c>
    </row>
    <row r="63" spans="1:20" ht="13.5" thickBot="1" x14ac:dyDescent="0.25">
      <c r="A63" s="182">
        <v>13</v>
      </c>
      <c r="B63" s="184" t="s">
        <v>38</v>
      </c>
      <c r="C63" s="12"/>
      <c r="D63" s="13">
        <f>'FY17 Ind. Defense R&amp;E'!I63</f>
        <v>490720.40078637697</v>
      </c>
      <c r="E63" s="176">
        <f>'FY17 Ind. Defense R&amp;E'!AF63</f>
        <v>0</v>
      </c>
      <c r="F63" s="187">
        <f t="shared" si="0"/>
        <v>490720.40078637697</v>
      </c>
      <c r="G63" s="12"/>
      <c r="H63" s="178">
        <f>'FY17 Solicitor R&amp;E'!H63</f>
        <v>1400814.79</v>
      </c>
      <c r="I63" s="179">
        <f>'FY17 Solicitor R&amp;E'!U63</f>
        <v>1448193.02</v>
      </c>
      <c r="J63" s="187">
        <f t="shared" si="1"/>
        <v>-47378.229999999981</v>
      </c>
      <c r="K63" s="188"/>
      <c r="L63" s="12"/>
      <c r="M63" s="178">
        <f>'FY16 Ind. Defense R&amp;E'!I63</f>
        <v>406188.31</v>
      </c>
      <c r="N63" s="179">
        <f>'FY16 Ind. Defense R&amp;E'!AF63</f>
        <v>0</v>
      </c>
      <c r="O63" s="187"/>
      <c r="P63" s="12"/>
      <c r="Q63" s="178">
        <f>'FY16 Solicitor R&amp;E'!H63</f>
        <v>1332669.83</v>
      </c>
      <c r="R63" s="179">
        <f>'FY16 Solicitor R&amp;E'!U63</f>
        <v>1399379.97</v>
      </c>
      <c r="S63" s="187">
        <f t="shared" si="2"/>
        <v>-66710.139999999898</v>
      </c>
      <c r="T63" s="188"/>
    </row>
    <row r="64" spans="1:20" ht="13.5" thickTop="1" x14ac:dyDescent="0.2">
      <c r="A64" s="44"/>
      <c r="B64" s="181" t="s">
        <v>4</v>
      </c>
      <c r="C64" s="12"/>
      <c r="D64" s="13">
        <f>'FY17 Ind. Defense R&amp;E'!I64</f>
        <v>3304571.3700948465</v>
      </c>
      <c r="E64" s="176">
        <f>'FY17 Ind. Defense R&amp;E'!AF64</f>
        <v>2377121</v>
      </c>
      <c r="F64" s="186">
        <f t="shared" si="0"/>
        <v>927450.37009484647</v>
      </c>
      <c r="G64" s="12"/>
      <c r="H64" s="13">
        <f>'FY17 Solicitor R&amp;E'!H64</f>
        <v>12746383.439999999</v>
      </c>
      <c r="I64" s="176">
        <f>'FY17 Solicitor R&amp;E'!U64</f>
        <v>11898793.339999998</v>
      </c>
      <c r="J64" s="186">
        <f t="shared" si="1"/>
        <v>847590.10000000149</v>
      </c>
      <c r="K64" s="188"/>
      <c r="L64" s="12"/>
      <c r="M64" s="13">
        <f>'FY16 Ind. Defense R&amp;E'!I64</f>
        <v>2304185.37</v>
      </c>
      <c r="N64" s="176">
        <f>'FY16 Ind. Defense R&amp;E'!AF64</f>
        <v>1928609</v>
      </c>
      <c r="O64" s="186">
        <f t="shared" si="3"/>
        <v>375576.37000000011</v>
      </c>
      <c r="P64" s="12"/>
      <c r="Q64" s="13">
        <f>'FY16 Solicitor R&amp;E'!H64</f>
        <v>11582308.35</v>
      </c>
      <c r="R64" s="176">
        <f>'FY16 Solicitor R&amp;E'!U64</f>
        <v>11137217.869999999</v>
      </c>
      <c r="S64" s="186">
        <f t="shared" si="2"/>
        <v>445090.48000000045</v>
      </c>
      <c r="T64" s="188"/>
    </row>
    <row r="65" spans="1:20" x14ac:dyDescent="0.2">
      <c r="A65" s="148"/>
      <c r="B65" s="147"/>
      <c r="C65" s="12"/>
      <c r="D65" s="145"/>
      <c r="E65" s="145"/>
      <c r="F65" s="145"/>
      <c r="G65" s="12"/>
      <c r="H65" s="145"/>
      <c r="I65" s="145"/>
      <c r="J65" s="145"/>
      <c r="K65" s="146"/>
      <c r="L65" s="12"/>
      <c r="M65" s="145"/>
      <c r="N65" s="145"/>
      <c r="O65" s="145"/>
      <c r="P65" s="12"/>
      <c r="Q65" s="145"/>
      <c r="R65" s="145"/>
      <c r="S65" s="145"/>
      <c r="T65" s="146"/>
    </row>
    <row r="66" spans="1:20" ht="63.75" x14ac:dyDescent="0.2">
      <c r="A66" s="79">
        <v>14</v>
      </c>
      <c r="B66" s="43" t="s">
        <v>39</v>
      </c>
      <c r="C66" s="12"/>
      <c r="D66" s="13">
        <f>'FY17 Ind. Defense R&amp;E'!I66</f>
        <v>62884.116082275897</v>
      </c>
      <c r="E66" s="176">
        <f>'FY17 Ind. Defense R&amp;E'!AF66</f>
        <v>0</v>
      </c>
      <c r="F66" s="186">
        <f t="shared" si="0"/>
        <v>62884.116082275897</v>
      </c>
      <c r="G66" s="12"/>
      <c r="H66" s="13">
        <f>'FY17 Solicitor R&amp;E'!H66</f>
        <v>26668.25</v>
      </c>
      <c r="I66" s="176">
        <f>'FY17 Solicitor R&amp;E'!U66</f>
        <v>147738.53999999998</v>
      </c>
      <c r="J66" s="186">
        <f t="shared" si="1"/>
        <v>-121070.28999999998</v>
      </c>
      <c r="K66" s="188" t="s">
        <v>64</v>
      </c>
      <c r="L66" s="12"/>
      <c r="M66" s="13">
        <f>'FY16 Ind. Defense R&amp;E'!I66</f>
        <v>46558.030000000006</v>
      </c>
      <c r="N66" s="176">
        <f>'FY16 Ind. Defense R&amp;E'!AF66</f>
        <v>0</v>
      </c>
      <c r="O66" s="186"/>
      <c r="P66" s="12"/>
      <c r="Q66" s="13">
        <f>'FY16 Solicitor R&amp;E'!H66</f>
        <v>22265</v>
      </c>
      <c r="R66" s="176">
        <f>'FY16 Solicitor R&amp;E'!U66</f>
        <v>142340.81</v>
      </c>
      <c r="S66" s="186">
        <f t="shared" si="2"/>
        <v>-120075.81</v>
      </c>
      <c r="T66" s="188" t="s">
        <v>76</v>
      </c>
    </row>
    <row r="67" spans="1:20" x14ac:dyDescent="0.2">
      <c r="A67" s="79">
        <v>14</v>
      </c>
      <c r="B67" s="43" t="s">
        <v>40</v>
      </c>
      <c r="C67" s="12"/>
      <c r="D67" s="13">
        <f>'FY17 Ind. Defense R&amp;E'!I67</f>
        <v>1367036.4306916082</v>
      </c>
      <c r="E67" s="176">
        <f>'FY17 Ind. Defense R&amp;E'!AF67</f>
        <v>2241242.4</v>
      </c>
      <c r="F67" s="186">
        <f t="shared" si="0"/>
        <v>-874205.96930839168</v>
      </c>
      <c r="G67" s="12"/>
      <c r="H67" s="13">
        <f>'FY17 Solicitor R&amp;E'!H67</f>
        <v>3496722.47</v>
      </c>
      <c r="I67" s="176">
        <f>'FY17 Solicitor R&amp;E'!U67</f>
        <v>3217835.79</v>
      </c>
      <c r="J67" s="186">
        <f t="shared" si="1"/>
        <v>278886.68000000017</v>
      </c>
      <c r="K67" s="188"/>
      <c r="L67" s="12"/>
      <c r="M67" s="13">
        <f>'FY16 Ind. Defense R&amp;E'!I67</f>
        <v>1232825.3500000001</v>
      </c>
      <c r="N67" s="176">
        <f>'FY16 Ind. Defense R&amp;E'!AF67</f>
        <v>0</v>
      </c>
      <c r="O67" s="186"/>
      <c r="P67" s="12"/>
      <c r="Q67" s="13">
        <f>'FY16 Solicitor R&amp;E'!H67</f>
        <v>2886797.96</v>
      </c>
      <c r="R67" s="176">
        <f>'FY16 Solicitor R&amp;E'!U67</f>
        <v>2762342.2</v>
      </c>
      <c r="S67" s="186">
        <f t="shared" si="2"/>
        <v>124455.75999999978</v>
      </c>
      <c r="T67" s="188"/>
    </row>
    <row r="68" spans="1:20" x14ac:dyDescent="0.2">
      <c r="A68" s="79">
        <v>14</v>
      </c>
      <c r="B68" s="43" t="s">
        <v>41</v>
      </c>
      <c r="C68" s="12"/>
      <c r="D68" s="13">
        <f>'FY17 Ind. Defense R&amp;E'!I68</f>
        <v>395077.65070274251</v>
      </c>
      <c r="E68" s="176">
        <f>'FY17 Ind. Defense R&amp;E'!AF68</f>
        <v>0</v>
      </c>
      <c r="F68" s="186">
        <f t="shared" ref="F68:F82" si="4">D68-E68</f>
        <v>395077.65070274251</v>
      </c>
      <c r="G68" s="12"/>
      <c r="H68" s="13">
        <f>'FY17 Solicitor R&amp;E'!H68</f>
        <v>276121.15000000002</v>
      </c>
      <c r="I68" s="176">
        <f>'FY17 Solicitor R&amp;E'!U68</f>
        <v>273881.47000000003</v>
      </c>
      <c r="J68" s="186">
        <f t="shared" ref="J68:J82" si="5">H68-I68</f>
        <v>2239.679999999993</v>
      </c>
      <c r="K68" s="188"/>
      <c r="L68" s="12"/>
      <c r="M68" s="13">
        <f>'FY16 Ind. Defense R&amp;E'!I68</f>
        <v>334036.83</v>
      </c>
      <c r="N68" s="176">
        <f>'FY16 Ind. Defense R&amp;E'!AF68</f>
        <v>0</v>
      </c>
      <c r="O68" s="186"/>
      <c r="P68" s="12"/>
      <c r="Q68" s="13">
        <f>'FY16 Solicitor R&amp;E'!H68</f>
        <v>278814.67</v>
      </c>
      <c r="R68" s="176">
        <f>'FY16 Solicitor R&amp;E'!U68</f>
        <v>313641.95999999996</v>
      </c>
      <c r="S68" s="186">
        <f t="shared" ref="S68:S82" si="6">Q68-R68</f>
        <v>-34827.289999999979</v>
      </c>
      <c r="T68" s="188"/>
    </row>
    <row r="69" spans="1:20" x14ac:dyDescent="0.2">
      <c r="A69" s="79">
        <v>14</v>
      </c>
      <c r="B69" s="183" t="s">
        <v>42</v>
      </c>
      <c r="C69" s="12"/>
      <c r="D69" s="13">
        <f>'FY17 Ind. Defense R&amp;E'!I69</f>
        <v>134305.45236348966</v>
      </c>
      <c r="E69" s="176">
        <f>'FY17 Ind. Defense R&amp;E'!AF69</f>
        <v>0</v>
      </c>
      <c r="F69" s="186">
        <f t="shared" si="4"/>
        <v>134305.45236348966</v>
      </c>
      <c r="G69" s="12"/>
      <c r="H69" s="13">
        <f>'FY17 Solicitor R&amp;E'!H69</f>
        <v>124057.72</v>
      </c>
      <c r="I69" s="176">
        <f>'FY17 Solicitor R&amp;E'!U69</f>
        <v>239255.3</v>
      </c>
      <c r="J69" s="186">
        <f t="shared" si="5"/>
        <v>-115197.57999999999</v>
      </c>
      <c r="K69" s="188"/>
      <c r="L69" s="12"/>
      <c r="M69" s="13">
        <f>'FY16 Ind. Defense R&amp;E'!I69</f>
        <v>97758.51</v>
      </c>
      <c r="N69" s="176">
        <f>'FY16 Ind. Defense R&amp;E'!AF69</f>
        <v>0</v>
      </c>
      <c r="O69" s="186"/>
      <c r="P69" s="12"/>
      <c r="Q69" s="13">
        <f>'FY16 Solicitor R&amp;E'!H69</f>
        <v>117080</v>
      </c>
      <c r="R69" s="176">
        <f>'FY16 Solicitor R&amp;E'!U69</f>
        <v>194781.91999999998</v>
      </c>
      <c r="S69" s="186">
        <f t="shared" si="6"/>
        <v>-77701.919999999984</v>
      </c>
      <c r="T69" s="188"/>
    </row>
    <row r="70" spans="1:20" ht="13.5" thickBot="1" x14ac:dyDescent="0.25">
      <c r="A70" s="182">
        <v>14</v>
      </c>
      <c r="B70" s="184" t="s">
        <v>43</v>
      </c>
      <c r="C70" s="12"/>
      <c r="D70" s="13">
        <f>'FY17 Ind. Defense R&amp;E'!I70</f>
        <v>220980.97170271139</v>
      </c>
      <c r="E70" s="176">
        <f>'FY17 Ind. Defense R&amp;E'!AF70</f>
        <v>0</v>
      </c>
      <c r="F70" s="187">
        <f t="shared" si="4"/>
        <v>220980.97170271139</v>
      </c>
      <c r="G70" s="12"/>
      <c r="H70" s="178">
        <f>'FY17 Solicitor R&amp;E'!H70</f>
        <v>292303.51</v>
      </c>
      <c r="I70" s="179">
        <f>'FY17 Solicitor R&amp;E'!U70</f>
        <v>337162</v>
      </c>
      <c r="J70" s="187">
        <f t="shared" si="5"/>
        <v>-44858.489999999991</v>
      </c>
      <c r="K70" s="188"/>
      <c r="L70" s="12"/>
      <c r="M70" s="178">
        <f>'FY16 Ind. Defense R&amp;E'!I70</f>
        <v>187156.69</v>
      </c>
      <c r="N70" s="179">
        <f>'FY16 Ind. Defense R&amp;E'!AF70</f>
        <v>0</v>
      </c>
      <c r="O70" s="187"/>
      <c r="P70" s="12"/>
      <c r="Q70" s="178">
        <f>'FY16 Solicitor R&amp;E'!H70</f>
        <v>278845</v>
      </c>
      <c r="R70" s="179">
        <f>'FY16 Solicitor R&amp;E'!U70</f>
        <v>401001.66000000003</v>
      </c>
      <c r="S70" s="187">
        <f t="shared" si="6"/>
        <v>-122156.66000000003</v>
      </c>
      <c r="T70" s="188"/>
    </row>
    <row r="71" spans="1:20" ht="13.5" thickTop="1" x14ac:dyDescent="0.2">
      <c r="A71" s="44"/>
      <c r="B71" s="181" t="s">
        <v>4</v>
      </c>
      <c r="C71" s="12"/>
      <c r="D71" s="13">
        <f>'FY17 Ind. Defense R&amp;E'!I71</f>
        <v>2180284.6215428277</v>
      </c>
      <c r="E71" s="176">
        <f>'FY17 Ind. Defense R&amp;E'!AF71</f>
        <v>2241242.4</v>
      </c>
      <c r="F71" s="186">
        <f t="shared" si="4"/>
        <v>-60957.778457172215</v>
      </c>
      <c r="G71" s="12"/>
      <c r="H71" s="13">
        <f>'FY17 Solicitor R&amp;E'!H71</f>
        <v>4215873.1000000006</v>
      </c>
      <c r="I71" s="176">
        <f>'FY17 Solicitor R&amp;E'!U71</f>
        <v>4215873.0999999996</v>
      </c>
      <c r="J71" s="186">
        <f t="shared" si="5"/>
        <v>0</v>
      </c>
      <c r="K71" s="188"/>
      <c r="L71" s="12"/>
      <c r="M71" s="13">
        <f>'FY16 Ind. Defense R&amp;E'!I71</f>
        <v>1898335.4100000001</v>
      </c>
      <c r="N71" s="176">
        <f>'FY16 Ind. Defense R&amp;E'!AF71</f>
        <v>1835996.54</v>
      </c>
      <c r="O71" s="186">
        <f t="shared" ref="O71:O82" si="7">M71-N71</f>
        <v>62338.870000000112</v>
      </c>
      <c r="P71" s="12"/>
      <c r="Q71" s="13">
        <f>'FY16 Solicitor R&amp;E'!H71</f>
        <v>3583802.63</v>
      </c>
      <c r="R71" s="176">
        <f>'FY16 Solicitor R&amp;E'!U71</f>
        <v>3814108.5499999993</v>
      </c>
      <c r="S71" s="186">
        <f t="shared" si="6"/>
        <v>-230305.91999999946</v>
      </c>
      <c r="T71" s="188"/>
    </row>
    <row r="72" spans="1:20" x14ac:dyDescent="0.2">
      <c r="A72" s="148"/>
      <c r="B72" s="147"/>
      <c r="C72" s="12"/>
      <c r="D72" s="145"/>
      <c r="E72" s="145"/>
      <c r="F72" s="145"/>
      <c r="G72" s="12"/>
      <c r="H72" s="145"/>
      <c r="I72" s="145"/>
      <c r="J72" s="145"/>
      <c r="K72" s="146"/>
      <c r="L72" s="12"/>
      <c r="M72" s="145"/>
      <c r="N72" s="145"/>
      <c r="O72" s="145"/>
      <c r="P72" s="12"/>
      <c r="Q72" s="145"/>
      <c r="R72" s="145"/>
      <c r="S72" s="145"/>
      <c r="T72" s="146"/>
    </row>
    <row r="73" spans="1:20" x14ac:dyDescent="0.2">
      <c r="A73" s="79">
        <v>15</v>
      </c>
      <c r="B73" s="183" t="s">
        <v>44</v>
      </c>
      <c r="C73" s="12"/>
      <c r="D73" s="13">
        <f>'FY17 Ind. Defense R&amp;E'!I73</f>
        <v>373707.51082422055</v>
      </c>
      <c r="E73" s="176">
        <f>'FY17 Ind. Defense R&amp;E'!AF73</f>
        <v>282515.73</v>
      </c>
      <c r="F73" s="186">
        <f t="shared" si="4"/>
        <v>91191.780824220565</v>
      </c>
      <c r="G73" s="12"/>
      <c r="H73" s="13">
        <f>'FY17 Solicitor R&amp;E'!H73</f>
        <v>1106153</v>
      </c>
      <c r="I73" s="176">
        <f>'FY17 Solicitor R&amp;E'!U73</f>
        <v>1082764.3400000001</v>
      </c>
      <c r="J73" s="186">
        <f t="shared" si="5"/>
        <v>23388.659999999916</v>
      </c>
      <c r="K73" s="188"/>
      <c r="L73" s="12"/>
      <c r="M73" s="13">
        <f>'FY16 Ind. Defense R&amp;E'!I73</f>
        <v>279442.56</v>
      </c>
      <c r="N73" s="176">
        <f>'FY16 Ind. Defense R&amp;E'!AF73</f>
        <v>215837</v>
      </c>
      <c r="O73" s="186">
        <f t="shared" si="7"/>
        <v>63605.56</v>
      </c>
      <c r="P73" s="12"/>
      <c r="Q73" s="13">
        <f>'FY16 Solicitor R&amp;E'!H73</f>
        <v>1146867.5</v>
      </c>
      <c r="R73" s="176">
        <f>'FY16 Solicitor R&amp;E'!U73</f>
        <v>1047618</v>
      </c>
      <c r="S73" s="186">
        <f t="shared" si="6"/>
        <v>99249.5</v>
      </c>
      <c r="T73" s="188"/>
    </row>
    <row r="74" spans="1:20" ht="13.5" thickBot="1" x14ac:dyDescent="0.25">
      <c r="A74" s="182">
        <v>15</v>
      </c>
      <c r="B74" s="184" t="s">
        <v>45</v>
      </c>
      <c r="C74" s="12"/>
      <c r="D74" s="13">
        <f>'FY17 Ind. Defense R&amp;E'!I74</f>
        <v>2200603.1452070409</v>
      </c>
      <c r="E74" s="176">
        <f>'FY17 Ind. Defense R&amp;E'!AF74</f>
        <v>1801019.1300000001</v>
      </c>
      <c r="F74" s="187">
        <f t="shared" si="4"/>
        <v>399584.01520704082</v>
      </c>
      <c r="G74" s="12"/>
      <c r="H74" s="178">
        <f>'FY17 Solicitor R&amp;E'!H74</f>
        <v>7364490.7799999993</v>
      </c>
      <c r="I74" s="179">
        <f>'FY17 Solicitor R&amp;E'!U74</f>
        <v>6358039.8200000003</v>
      </c>
      <c r="J74" s="187">
        <f t="shared" si="5"/>
        <v>1006450.959999999</v>
      </c>
      <c r="K74" s="188"/>
      <c r="L74" s="12"/>
      <c r="M74" s="178">
        <f>'FY16 Ind. Defense R&amp;E'!I74</f>
        <v>1675777.88</v>
      </c>
      <c r="N74" s="179">
        <f>'FY16 Ind. Defense R&amp;E'!AF74</f>
        <v>1512825</v>
      </c>
      <c r="O74" s="187">
        <f t="shared" si="7"/>
        <v>162952.87999999989</v>
      </c>
      <c r="P74" s="12"/>
      <c r="Q74" s="178">
        <f>'FY16 Solicitor R&amp;E'!H74</f>
        <v>6950935.9000000004</v>
      </c>
      <c r="R74" s="179">
        <f>'FY16 Solicitor R&amp;E'!U74</f>
        <v>3874909</v>
      </c>
      <c r="S74" s="187">
        <f t="shared" si="6"/>
        <v>3076026.9000000004</v>
      </c>
      <c r="T74" s="188"/>
    </row>
    <row r="75" spans="1:20" ht="13.5" thickTop="1" x14ac:dyDescent="0.2">
      <c r="A75" s="44"/>
      <c r="B75" s="181" t="s">
        <v>4</v>
      </c>
      <c r="C75" s="12"/>
      <c r="D75" s="13">
        <f>'FY17 Ind. Defense R&amp;E'!I75</f>
        <v>2574310.6560312612</v>
      </c>
      <c r="E75" s="176">
        <f>'FY17 Ind. Defense R&amp;E'!AF75</f>
        <v>2083534.86</v>
      </c>
      <c r="F75" s="186">
        <f t="shared" si="4"/>
        <v>490775.7960312611</v>
      </c>
      <c r="G75" s="12"/>
      <c r="H75" s="13">
        <f>'FY17 Solicitor R&amp;E'!H75</f>
        <v>8470643.7799999993</v>
      </c>
      <c r="I75" s="176">
        <f>'FY17 Solicitor R&amp;E'!U75</f>
        <v>7440804.1600000001</v>
      </c>
      <c r="J75" s="186">
        <f t="shared" si="5"/>
        <v>1029839.6199999992</v>
      </c>
      <c r="K75" s="188"/>
      <c r="L75" s="12"/>
      <c r="M75" s="13">
        <f>'FY16 Ind. Defense R&amp;E'!I75</f>
        <v>1955220.44</v>
      </c>
      <c r="N75" s="176">
        <f>'FY16 Ind. Defense R&amp;E'!AF75</f>
        <v>1728662</v>
      </c>
      <c r="O75" s="186">
        <f t="shared" si="7"/>
        <v>226558.43999999994</v>
      </c>
      <c r="P75" s="12"/>
      <c r="Q75" s="13">
        <f>'FY16 Solicitor R&amp;E'!H75</f>
        <v>8097803.4000000004</v>
      </c>
      <c r="R75" s="176">
        <f>'FY16 Solicitor R&amp;E'!U75</f>
        <v>4922527</v>
      </c>
      <c r="S75" s="186">
        <f t="shared" si="6"/>
        <v>3175276.4000000004</v>
      </c>
      <c r="T75" s="188"/>
    </row>
    <row r="76" spans="1:20" x14ac:dyDescent="0.2">
      <c r="A76" s="148"/>
      <c r="B76" s="147"/>
      <c r="C76" s="12"/>
      <c r="D76" s="145"/>
      <c r="E76" s="145"/>
      <c r="F76" s="145"/>
      <c r="G76" s="12"/>
      <c r="H76" s="145"/>
      <c r="I76" s="145"/>
      <c r="J76" s="145"/>
      <c r="K76" s="146"/>
      <c r="L76" s="12"/>
      <c r="M76" s="145"/>
      <c r="N76" s="145"/>
      <c r="O76" s="145"/>
      <c r="P76" s="12"/>
      <c r="Q76" s="145"/>
      <c r="R76" s="145"/>
      <c r="S76" s="145"/>
      <c r="T76" s="146"/>
    </row>
    <row r="77" spans="1:20" x14ac:dyDescent="0.2">
      <c r="A77" s="79">
        <v>16</v>
      </c>
      <c r="B77" s="183" t="s">
        <v>46</v>
      </c>
      <c r="C77" s="12"/>
      <c r="D77" s="13">
        <f>'FY17 Ind. Defense R&amp;E'!I77</f>
        <v>229612.11976761612</v>
      </c>
      <c r="E77" s="176">
        <f>'FY17 Ind. Defense R&amp;E'!AF77</f>
        <v>218663.34000000003</v>
      </c>
      <c r="F77" s="186">
        <f t="shared" si="4"/>
        <v>10948.779767616099</v>
      </c>
      <c r="G77" s="12"/>
      <c r="H77" s="13">
        <f>'FY17 Solicitor R&amp;E'!H77</f>
        <v>469246</v>
      </c>
      <c r="I77" s="176">
        <f>'FY17 Solicitor R&amp;E'!U77</f>
        <v>402366</v>
      </c>
      <c r="J77" s="186">
        <f t="shared" si="5"/>
        <v>66880</v>
      </c>
      <c r="K77" s="188"/>
      <c r="L77" s="12"/>
      <c r="M77" s="13">
        <f>'FY16 Ind. Defense R&amp;E'!I77</f>
        <v>174643.71000000002</v>
      </c>
      <c r="N77" s="176">
        <f>'FY16 Ind. Defense R&amp;E'!AF77</f>
        <v>0</v>
      </c>
      <c r="O77" s="186"/>
      <c r="P77" s="12"/>
      <c r="Q77" s="13">
        <f>'FY16 Solicitor R&amp;E'!H77</f>
        <v>257408</v>
      </c>
      <c r="R77" s="176">
        <f>'FY16 Solicitor R&amp;E'!U77</f>
        <v>332557</v>
      </c>
      <c r="S77" s="186">
        <f t="shared" si="6"/>
        <v>-75149</v>
      </c>
      <c r="T77" s="188"/>
    </row>
    <row r="78" spans="1:20" ht="13.5" thickBot="1" x14ac:dyDescent="0.25">
      <c r="A78" s="182">
        <v>16</v>
      </c>
      <c r="B78" s="184" t="s">
        <v>47</v>
      </c>
      <c r="C78" s="12"/>
      <c r="D78" s="13">
        <f>'FY17 Ind. Defense R&amp;E'!I78</f>
        <v>2360323.8610891984</v>
      </c>
      <c r="E78" s="176">
        <f>'FY17 Ind. Defense R&amp;E'!AF78</f>
        <v>2045560.7999999998</v>
      </c>
      <c r="F78" s="187">
        <f t="shared" si="4"/>
        <v>314763.06108919857</v>
      </c>
      <c r="G78" s="12"/>
      <c r="H78" s="178">
        <f>'FY17 Solicitor R&amp;E'!H78</f>
        <v>6715900</v>
      </c>
      <c r="I78" s="179">
        <f>'FY17 Solicitor R&amp;E'!U78</f>
        <v>6663859</v>
      </c>
      <c r="J78" s="187">
        <f t="shared" si="5"/>
        <v>52041</v>
      </c>
      <c r="K78" s="188"/>
      <c r="L78" s="12"/>
      <c r="M78" s="178">
        <f>'FY16 Ind. Defense R&amp;E'!I78</f>
        <v>1960982.69</v>
      </c>
      <c r="N78" s="179">
        <f>'FY16 Ind. Defense R&amp;E'!AF78</f>
        <v>0</v>
      </c>
      <c r="O78" s="187"/>
      <c r="P78" s="12"/>
      <c r="Q78" s="178">
        <f>'FY16 Solicitor R&amp;E'!H78</f>
        <v>5904015</v>
      </c>
      <c r="R78" s="179">
        <f>'FY16 Solicitor R&amp;E'!U78</f>
        <v>5696096</v>
      </c>
      <c r="S78" s="187">
        <f t="shared" si="6"/>
        <v>207919</v>
      </c>
      <c r="T78" s="188"/>
    </row>
    <row r="79" spans="1:20" ht="13.5" thickTop="1" x14ac:dyDescent="0.2">
      <c r="A79" s="84"/>
      <c r="B79" s="181" t="s">
        <v>4</v>
      </c>
      <c r="C79" s="12"/>
      <c r="D79" s="13">
        <f>'FY17 Ind. Defense R&amp;E'!I79</f>
        <v>2589935.9808568144</v>
      </c>
      <c r="E79" s="176">
        <f>'FY17 Ind. Defense R&amp;E'!AF79</f>
        <v>2264224.14</v>
      </c>
      <c r="F79" s="186">
        <f t="shared" si="4"/>
        <v>325711.84085681429</v>
      </c>
      <c r="G79" s="12"/>
      <c r="H79" s="13">
        <f>'FY17 Solicitor R&amp;E'!H79</f>
        <v>7185146</v>
      </c>
      <c r="I79" s="176">
        <f>'FY17 Solicitor R&amp;E'!U79</f>
        <v>7066225</v>
      </c>
      <c r="J79" s="186">
        <f t="shared" si="5"/>
        <v>118921</v>
      </c>
      <c r="K79" s="188"/>
      <c r="L79" s="12"/>
      <c r="M79" s="13">
        <f>'FY16 Ind. Defense R&amp;E'!I79</f>
        <v>2135626.4</v>
      </c>
      <c r="N79" s="176">
        <f>'FY16 Ind. Defense R&amp;E'!AF79</f>
        <v>1935631.51</v>
      </c>
      <c r="O79" s="186">
        <f t="shared" si="7"/>
        <v>199994.8899999999</v>
      </c>
      <c r="P79" s="12"/>
      <c r="Q79" s="13">
        <f>'FY16 Solicitor R&amp;E'!H79</f>
        <v>6161423</v>
      </c>
      <c r="R79" s="176">
        <f>'FY16 Solicitor R&amp;E'!U79</f>
        <v>6028653</v>
      </c>
      <c r="S79" s="186">
        <f t="shared" si="6"/>
        <v>132770</v>
      </c>
      <c r="T79" s="188"/>
    </row>
    <row r="80" spans="1:20" x14ac:dyDescent="0.2">
      <c r="A80" s="82"/>
      <c r="B80" s="147"/>
      <c r="C80" s="12"/>
      <c r="D80" s="145"/>
      <c r="E80" s="145"/>
      <c r="F80" s="145"/>
      <c r="G80" s="12"/>
      <c r="H80" s="145"/>
      <c r="I80" s="145"/>
      <c r="J80" s="145"/>
      <c r="K80" s="146"/>
      <c r="L80" s="12"/>
      <c r="M80" s="145"/>
      <c r="N80" s="145"/>
      <c r="O80" s="145"/>
      <c r="P80" s="12"/>
      <c r="Q80" s="145"/>
      <c r="R80" s="145"/>
      <c r="S80" s="145"/>
      <c r="T80" s="146"/>
    </row>
    <row r="81" spans="1:20" x14ac:dyDescent="0.2">
      <c r="A81" s="85"/>
      <c r="B81" s="86"/>
      <c r="C81" s="12"/>
      <c r="D81" s="13"/>
      <c r="E81" s="176"/>
      <c r="F81" s="186"/>
      <c r="G81" s="12"/>
      <c r="H81" s="13"/>
      <c r="I81" s="176"/>
      <c r="J81" s="186"/>
      <c r="K81" s="188"/>
      <c r="L81" s="12"/>
      <c r="M81" s="13"/>
      <c r="N81" s="176"/>
      <c r="O81" s="186"/>
      <c r="P81" s="12"/>
      <c r="Q81" s="13"/>
      <c r="R81" s="176"/>
      <c r="S81" s="186"/>
      <c r="T81" s="188"/>
    </row>
    <row r="82" spans="1:20" x14ac:dyDescent="0.2">
      <c r="A82" s="87"/>
      <c r="B82" s="65" t="s">
        <v>48</v>
      </c>
      <c r="C82" s="12"/>
      <c r="D82" s="13">
        <f>'FY17 Ind. Defense R&amp;E'!I82</f>
        <v>36696348.93</v>
      </c>
      <c r="E82" s="176">
        <f>'FY17 Ind. Defense R&amp;E'!AF82</f>
        <v>31955688.171000004</v>
      </c>
      <c r="F82" s="186">
        <f t="shared" si="4"/>
        <v>4740660.7589999959</v>
      </c>
      <c r="G82" s="12"/>
      <c r="H82" s="13">
        <f>'FY17 Solicitor R&amp;E'!H82</f>
        <v>85378396.560000002</v>
      </c>
      <c r="I82" s="176">
        <f>'FY17 Solicitor R&amp;E'!U82</f>
        <v>83479497.230000004</v>
      </c>
      <c r="J82" s="186">
        <f t="shared" si="5"/>
        <v>1898899.3299999982</v>
      </c>
      <c r="K82" s="188"/>
      <c r="L82" s="12"/>
      <c r="M82" s="13">
        <f>'FY16 Ind. Defense R&amp;E'!I82</f>
        <v>28946281.450000003</v>
      </c>
      <c r="N82" s="176">
        <f>'FY16 Ind. Defense R&amp;E'!AF82</f>
        <v>27889838.080000002</v>
      </c>
      <c r="O82" s="186">
        <f t="shared" si="7"/>
        <v>1056443.370000001</v>
      </c>
      <c r="P82" s="12"/>
      <c r="Q82" s="13">
        <f>'FY16 Solicitor R&amp;E'!H82</f>
        <v>70837004.719999999</v>
      </c>
      <c r="R82" s="176">
        <f>'FY16 Solicitor R&amp;E'!U82</f>
        <v>67666051.629999995</v>
      </c>
      <c r="S82" s="186">
        <f t="shared" si="6"/>
        <v>3170953.0900000036</v>
      </c>
      <c r="T82" s="188"/>
    </row>
    <row r="83" spans="1:20" x14ac:dyDescent="0.2">
      <c r="A83" s="2"/>
      <c r="B83" s="8"/>
    </row>
    <row r="84" spans="1:20" x14ac:dyDescent="0.2">
      <c r="A84" s="2"/>
      <c r="B84" s="8"/>
    </row>
    <row r="85" spans="1:20" x14ac:dyDescent="0.2">
      <c r="B85" s="8"/>
    </row>
  </sheetData>
  <mergeCells count="4">
    <mergeCell ref="D1:F1"/>
    <mergeCell ref="H1:K1"/>
    <mergeCell ref="M1:O1"/>
    <mergeCell ref="Q1:T1"/>
  </mergeCells>
  <pageMargins left="0.7" right="0.7" top="0.75" bottom="0.75" header="0.3" footer="0.3"/>
  <pageSetup paperSize="5" scale="54" fitToHeight="0" orientation="landscape" r:id="rId1"/>
  <headerFooter>
    <oddHeader>&amp;CSummary of Revenue and Expenses - Indigent Defense and Solicitor's Offices (FY15-16 and FY16-17)</oddHeader>
    <oddFooter>&amp;LData and analysis based on reports submitted by Commission on Indigent Defense and Commission on Prosecution Coordination pursuant to FY15-16 Proviso 117.110 and FY16-17 Proviso 117.109</oddFooter>
  </headerFooter>
  <rowBreaks count="1" manualBreakCount="1">
    <brk id="64"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87"/>
  <sheetViews>
    <sheetView zoomScaleNormal="100" workbookViewId="0">
      <pane xSplit="2" ySplit="2" topLeftCell="H3" activePane="bottomRight" state="frozen"/>
      <selection pane="topRight" activeCell="C1" sqref="C1"/>
      <selection pane="bottomLeft" activeCell="A3" sqref="A3"/>
      <selection pane="bottomRight" activeCell="W3" sqref="W3"/>
    </sheetView>
  </sheetViews>
  <sheetFormatPr defaultColWidth="9.140625" defaultRowHeight="12.75" outlineLevelCol="1" x14ac:dyDescent="0.2"/>
  <cols>
    <col min="1" max="1" width="3.42578125" style="1" bestFit="1" customWidth="1"/>
    <col min="2" max="2" width="17.7109375" style="1" customWidth="1"/>
    <col min="3" max="3" width="15.140625" style="35" customWidth="1" outlineLevel="1"/>
    <col min="4" max="4" width="14.85546875" style="35" customWidth="1" outlineLevel="1"/>
    <col min="5" max="5" width="12.42578125" style="35" customWidth="1" outlineLevel="1"/>
    <col min="6" max="6" width="12.85546875" style="59" customWidth="1" outlineLevel="1"/>
    <col min="7" max="7" width="12.140625" style="60" customWidth="1" outlineLevel="1"/>
    <col min="8" max="8" width="12.7109375" style="60" customWidth="1" outlineLevel="1"/>
    <col min="9" max="9" width="11.5703125" style="60" customWidth="1" outlineLevel="1"/>
    <col min="10" max="10" width="12" style="60" customWidth="1" outlineLevel="1"/>
    <col min="11" max="11" width="13.140625" style="60" customWidth="1" outlineLevel="1"/>
    <col min="12" max="12" width="12.28515625" style="60" customWidth="1" outlineLevel="1"/>
    <col min="13" max="13" width="13.140625" style="60" customWidth="1" outlineLevel="1"/>
    <col min="14" max="14" width="12.85546875" style="60" customWidth="1" outlineLevel="1"/>
    <col min="15" max="15" width="15" style="60" customWidth="1" outlineLevel="1"/>
    <col min="16" max="16" width="15.140625" style="60" customWidth="1" outlineLevel="1"/>
    <col min="17" max="17" width="15.42578125" style="60" customWidth="1" outlineLevel="1"/>
    <col min="18" max="18" width="15.28515625" style="60" customWidth="1" outlineLevel="1"/>
    <col min="19" max="19" width="5" style="1" customWidth="1"/>
    <col min="20" max="20" width="15.42578125" style="4" bestFit="1" customWidth="1" outlineLevel="1"/>
    <col min="21" max="21" width="14.28515625" style="4" bestFit="1" customWidth="1" outlineLevel="1"/>
    <col min="22" max="22" width="13.28515625" style="4" bestFit="1" customWidth="1" outlineLevel="1"/>
    <col min="23" max="23" width="20.140625" style="4" bestFit="1" customWidth="1" outlineLevel="1"/>
    <col min="24" max="25" width="14.28515625" style="4" bestFit="1" customWidth="1" outlineLevel="1"/>
    <col min="26" max="26" width="22.42578125" style="4" bestFit="1" customWidth="1" outlineLevel="1"/>
    <col min="27" max="27" width="27" style="4" customWidth="1" outlineLevel="1"/>
    <col min="28" max="16384" width="9.140625" style="5"/>
  </cols>
  <sheetData>
    <row r="1" spans="1:27" x14ac:dyDescent="0.2">
      <c r="C1" s="36" t="s">
        <v>49</v>
      </c>
      <c r="D1" s="36" t="s">
        <v>49</v>
      </c>
      <c r="E1" s="36" t="s">
        <v>49</v>
      </c>
      <c r="F1" s="36" t="s">
        <v>49</v>
      </c>
      <c r="G1" s="36" t="s">
        <v>49</v>
      </c>
      <c r="H1" s="36" t="s">
        <v>49</v>
      </c>
      <c r="I1" s="36" t="s">
        <v>49</v>
      </c>
      <c r="J1" s="36" t="s">
        <v>49</v>
      </c>
      <c r="K1" s="36" t="s">
        <v>49</v>
      </c>
      <c r="L1" s="36" t="s">
        <v>49</v>
      </c>
      <c r="M1" s="36" t="s">
        <v>49</v>
      </c>
      <c r="N1" s="36" t="s">
        <v>49</v>
      </c>
      <c r="O1" s="36" t="s">
        <v>49</v>
      </c>
      <c r="P1" s="36" t="s">
        <v>49</v>
      </c>
      <c r="Q1" s="36" t="s">
        <v>49</v>
      </c>
      <c r="R1" s="36" t="s">
        <v>49</v>
      </c>
      <c r="S1" s="15"/>
      <c r="T1" s="37" t="s">
        <v>53</v>
      </c>
      <c r="U1" s="37" t="s">
        <v>53</v>
      </c>
      <c r="V1" s="37" t="s">
        <v>53</v>
      </c>
      <c r="W1" s="37" t="s">
        <v>53</v>
      </c>
      <c r="X1" s="37" t="s">
        <v>53</v>
      </c>
      <c r="Y1" s="37" t="s">
        <v>53</v>
      </c>
      <c r="Z1" s="37" t="s">
        <v>53</v>
      </c>
      <c r="AA1" s="37" t="s">
        <v>53</v>
      </c>
    </row>
    <row r="2" spans="1:27" s="39" customFormat="1" ht="117.75" customHeight="1" x14ac:dyDescent="0.2">
      <c r="A2" s="136" t="s">
        <v>0</v>
      </c>
      <c r="B2" s="21" t="s">
        <v>78</v>
      </c>
      <c r="C2" s="131" t="s">
        <v>140</v>
      </c>
      <c r="D2" s="131" t="s">
        <v>141</v>
      </c>
      <c r="E2" s="132" t="s">
        <v>142</v>
      </c>
      <c r="F2" s="132" t="s">
        <v>143</v>
      </c>
      <c r="G2" s="132" t="s">
        <v>144</v>
      </c>
      <c r="H2" s="132" t="s">
        <v>145</v>
      </c>
      <c r="I2" s="132" t="s">
        <v>146</v>
      </c>
      <c r="J2" s="132" t="s">
        <v>147</v>
      </c>
      <c r="K2" s="132" t="s">
        <v>148</v>
      </c>
      <c r="L2" s="132" t="s">
        <v>149</v>
      </c>
      <c r="M2" s="132" t="s">
        <v>150</v>
      </c>
      <c r="N2" s="132" t="s">
        <v>151</v>
      </c>
      <c r="O2" s="132" t="s">
        <v>82</v>
      </c>
      <c r="P2" s="132" t="s">
        <v>50</v>
      </c>
      <c r="Q2" s="132" t="s">
        <v>66</v>
      </c>
      <c r="R2" s="127" t="s">
        <v>52</v>
      </c>
      <c r="S2" s="137"/>
      <c r="T2" s="17" t="s">
        <v>152</v>
      </c>
      <c r="U2" s="18" t="s">
        <v>153</v>
      </c>
      <c r="V2" s="19" t="s">
        <v>154</v>
      </c>
      <c r="W2" s="17" t="s">
        <v>82</v>
      </c>
      <c r="X2" s="17" t="s">
        <v>65</v>
      </c>
      <c r="Y2" s="132" t="s">
        <v>51</v>
      </c>
      <c r="Z2" s="127" t="s">
        <v>54</v>
      </c>
      <c r="AA2" s="127" t="s">
        <v>55</v>
      </c>
    </row>
    <row r="3" spans="1:27" s="41" customFormat="1" x14ac:dyDescent="0.2">
      <c r="A3" s="133">
        <v>1</v>
      </c>
      <c r="B3" s="134" t="s">
        <v>1</v>
      </c>
      <c r="C3" s="129">
        <v>57684.89</v>
      </c>
      <c r="D3" s="129">
        <v>20678.77</v>
      </c>
      <c r="E3" s="129">
        <v>256.55</v>
      </c>
      <c r="F3" s="129">
        <v>0</v>
      </c>
      <c r="G3" s="129">
        <v>0</v>
      </c>
      <c r="H3" s="129">
        <v>4030</v>
      </c>
      <c r="I3" s="129">
        <v>0</v>
      </c>
      <c r="J3" s="129">
        <v>0</v>
      </c>
      <c r="K3" s="129">
        <v>0</v>
      </c>
      <c r="L3" s="129">
        <v>0</v>
      </c>
      <c r="M3" s="129">
        <v>1018</v>
      </c>
      <c r="N3" s="129">
        <v>0</v>
      </c>
      <c r="O3" s="129">
        <v>1488.67</v>
      </c>
      <c r="P3" s="130">
        <f>SUM(C3:O3)</f>
        <v>85156.88</v>
      </c>
      <c r="Q3" s="135">
        <v>94459.589360642756</v>
      </c>
      <c r="R3" s="124">
        <f>Q3-P3</f>
        <v>9302.7093606427516</v>
      </c>
      <c r="S3" s="50"/>
      <c r="T3" s="22">
        <v>95000</v>
      </c>
      <c r="U3" s="22">
        <v>40285</v>
      </c>
      <c r="V3" s="22">
        <v>0</v>
      </c>
      <c r="W3" s="22">
        <v>0</v>
      </c>
      <c r="X3" s="22">
        <f>SUM(T3:W3)</f>
        <v>135285</v>
      </c>
      <c r="Y3" s="6">
        <v>191745</v>
      </c>
      <c r="Z3" s="6">
        <f>Y3-X3</f>
        <v>56460</v>
      </c>
      <c r="AA3" s="4"/>
    </row>
    <row r="4" spans="1:27" s="41" customFormat="1" x14ac:dyDescent="0.2">
      <c r="A4" s="79">
        <v>1</v>
      </c>
      <c r="B4" s="43" t="s">
        <v>2</v>
      </c>
      <c r="C4" s="96">
        <v>769573.77</v>
      </c>
      <c r="D4" s="96">
        <v>217930.62</v>
      </c>
      <c r="E4" s="96">
        <v>7497.44</v>
      </c>
      <c r="F4" s="96">
        <v>15654.64</v>
      </c>
      <c r="G4" s="96">
        <v>2665.51</v>
      </c>
      <c r="H4" s="96">
        <v>33060</v>
      </c>
      <c r="I4" s="96">
        <v>5860.68</v>
      </c>
      <c r="J4" s="96">
        <v>19457.650000000001</v>
      </c>
      <c r="K4" s="96">
        <v>26300</v>
      </c>
      <c r="L4" s="96">
        <v>2094.4499999999998</v>
      </c>
      <c r="M4" s="96">
        <v>28399.06</v>
      </c>
      <c r="N4" s="96">
        <v>6627.49</v>
      </c>
      <c r="O4" s="96">
        <v>37000.259999999995</v>
      </c>
      <c r="P4" s="97">
        <f t="shared" ref="P4:P5" si="0">SUM(C4:O4)</f>
        <v>1172121.5699999998</v>
      </c>
      <c r="Q4" s="99">
        <v>1233957.485182377</v>
      </c>
      <c r="R4" s="98">
        <f t="shared" ref="R4:R6" si="1">Q4-P4</f>
        <v>61835.915182377212</v>
      </c>
      <c r="S4" s="50"/>
      <c r="T4" s="22">
        <v>854586</v>
      </c>
      <c r="U4" s="22">
        <v>269435</v>
      </c>
      <c r="V4" s="22">
        <v>141531</v>
      </c>
      <c r="W4" s="22">
        <v>0</v>
      </c>
      <c r="X4" s="22">
        <f>SUM(T4:W4)</f>
        <v>1265552</v>
      </c>
      <c r="Y4" s="6">
        <v>2135315</v>
      </c>
      <c r="Z4" s="6">
        <f t="shared" ref="Z4:Z6" si="2">Y4-X4</f>
        <v>869763</v>
      </c>
      <c r="AA4" s="4"/>
    </row>
    <row r="5" spans="1:27" s="41" customFormat="1" ht="13.5" thickBot="1" x14ac:dyDescent="0.25">
      <c r="A5" s="79">
        <v>1</v>
      </c>
      <c r="B5" s="43" t="s">
        <v>3</v>
      </c>
      <c r="C5" s="100">
        <v>586781.11</v>
      </c>
      <c r="D5" s="100">
        <v>182452.33000000002</v>
      </c>
      <c r="E5" s="100">
        <v>2185.4499999999998</v>
      </c>
      <c r="F5" s="100">
        <v>3420.77</v>
      </c>
      <c r="G5" s="100">
        <v>1897.49</v>
      </c>
      <c r="H5" s="100">
        <v>24400</v>
      </c>
      <c r="I5" s="100">
        <v>0</v>
      </c>
      <c r="J5" s="100">
        <v>18402.349999999999</v>
      </c>
      <c r="K5" s="100">
        <v>24700</v>
      </c>
      <c r="L5" s="100">
        <v>48000</v>
      </c>
      <c r="M5" s="100">
        <v>13724.34</v>
      </c>
      <c r="N5" s="100">
        <v>11805.94</v>
      </c>
      <c r="O5" s="100">
        <v>22615.8</v>
      </c>
      <c r="P5" s="101">
        <f t="shared" si="0"/>
        <v>940385.57999999984</v>
      </c>
      <c r="Q5" s="102">
        <v>1024872.2842140899</v>
      </c>
      <c r="R5" s="103">
        <f t="shared" si="1"/>
        <v>84486.704214090016</v>
      </c>
      <c r="S5" s="50"/>
      <c r="T5" s="24">
        <v>889570</v>
      </c>
      <c r="U5" s="24">
        <v>280432</v>
      </c>
      <c r="V5" s="24">
        <v>147311</v>
      </c>
      <c r="W5" s="24">
        <v>0</v>
      </c>
      <c r="X5" s="24">
        <f>SUM(T5:W5)</f>
        <v>1317313</v>
      </c>
      <c r="Y5" s="62">
        <v>654288</v>
      </c>
      <c r="Z5" s="62">
        <f t="shared" si="2"/>
        <v>-663025</v>
      </c>
      <c r="AA5" s="4"/>
    </row>
    <row r="6" spans="1:27" s="41" customFormat="1" ht="13.5" thickTop="1" x14ac:dyDescent="0.2">
      <c r="A6" s="44"/>
      <c r="B6" s="45" t="s">
        <v>4</v>
      </c>
      <c r="C6" s="46">
        <f>SUM(C3:C5)</f>
        <v>1414039.77</v>
      </c>
      <c r="D6" s="46">
        <f t="shared" ref="D6:O6" si="3">SUM(D3:D5)</f>
        <v>421061.72</v>
      </c>
      <c r="E6" s="46">
        <f t="shared" si="3"/>
        <v>9939.4399999999987</v>
      </c>
      <c r="F6" s="46">
        <f t="shared" si="3"/>
        <v>19075.41</v>
      </c>
      <c r="G6" s="46">
        <f t="shared" si="3"/>
        <v>4563</v>
      </c>
      <c r="H6" s="46">
        <f t="shared" si="3"/>
        <v>61490</v>
      </c>
      <c r="I6" s="46">
        <f t="shared" si="3"/>
        <v>5860.68</v>
      </c>
      <c r="J6" s="46">
        <f t="shared" si="3"/>
        <v>37860</v>
      </c>
      <c r="K6" s="46">
        <f t="shared" si="3"/>
        <v>51000</v>
      </c>
      <c r="L6" s="46">
        <f t="shared" si="3"/>
        <v>50094.45</v>
      </c>
      <c r="M6" s="46">
        <f t="shared" si="3"/>
        <v>43141.4</v>
      </c>
      <c r="N6" s="46">
        <f t="shared" si="3"/>
        <v>18433.43</v>
      </c>
      <c r="O6" s="46">
        <f t="shared" si="3"/>
        <v>61104.729999999996</v>
      </c>
      <c r="P6" s="48">
        <f>SUM(C6:O6)</f>
        <v>2197664.0299999998</v>
      </c>
      <c r="Q6" s="47">
        <f>SUM(Q3:Q5)</f>
        <v>2353289.3587571094</v>
      </c>
      <c r="R6" s="49">
        <f t="shared" si="1"/>
        <v>155625.32875710959</v>
      </c>
      <c r="S6" s="89"/>
      <c r="T6" s="25">
        <f t="shared" ref="T6:W6" si="4">SUM(T3:T5)</f>
        <v>1839156</v>
      </c>
      <c r="U6" s="25">
        <f t="shared" si="4"/>
        <v>590152</v>
      </c>
      <c r="V6" s="25">
        <f t="shared" si="4"/>
        <v>288842</v>
      </c>
      <c r="W6" s="25">
        <f t="shared" si="4"/>
        <v>0</v>
      </c>
      <c r="X6" s="25">
        <f>SUM(T6:W6)</f>
        <v>2718150</v>
      </c>
      <c r="Y6" s="6">
        <v>2981348</v>
      </c>
      <c r="Z6" s="6">
        <f t="shared" si="2"/>
        <v>263198</v>
      </c>
      <c r="AA6" s="4"/>
    </row>
    <row r="7" spans="1:27" s="41" customFormat="1" x14ac:dyDescent="0.2">
      <c r="A7" s="80"/>
      <c r="B7" s="81"/>
      <c r="C7" s="104"/>
      <c r="D7" s="104"/>
      <c r="E7" s="104"/>
      <c r="F7" s="104"/>
      <c r="G7" s="104"/>
      <c r="H7" s="104"/>
      <c r="I7" s="104"/>
      <c r="J7" s="104"/>
      <c r="K7" s="104"/>
      <c r="L7" s="104"/>
      <c r="M7" s="104"/>
      <c r="N7" s="104"/>
      <c r="O7" s="104"/>
      <c r="P7" s="81"/>
      <c r="Q7" s="104"/>
      <c r="R7" s="105"/>
      <c r="S7" s="50"/>
      <c r="T7" s="26"/>
      <c r="U7" s="26"/>
      <c r="V7" s="26"/>
      <c r="W7" s="26"/>
      <c r="X7" s="27"/>
      <c r="Y7" s="9"/>
      <c r="Z7" s="10"/>
      <c r="AA7" s="10"/>
    </row>
    <row r="8" spans="1:27" s="41" customFormat="1" ht="25.5" x14ac:dyDescent="0.2">
      <c r="A8" s="79">
        <v>2</v>
      </c>
      <c r="B8" s="43" t="s">
        <v>5</v>
      </c>
      <c r="C8" s="96">
        <v>1055215.6000000001</v>
      </c>
      <c r="D8" s="96">
        <v>175150</v>
      </c>
      <c r="E8" s="96">
        <v>8283</v>
      </c>
      <c r="F8" s="96">
        <v>48344</v>
      </c>
      <c r="G8" s="96">
        <v>315.02</v>
      </c>
      <c r="H8" s="96">
        <v>0</v>
      </c>
      <c r="I8" s="96">
        <v>0</v>
      </c>
      <c r="J8" s="96">
        <v>5738.55</v>
      </c>
      <c r="K8" s="96">
        <v>0</v>
      </c>
      <c r="L8" s="96">
        <v>5355.68</v>
      </c>
      <c r="M8" s="96">
        <v>5110.25</v>
      </c>
      <c r="N8" s="96">
        <v>9554.49</v>
      </c>
      <c r="O8" s="96">
        <v>73816.299999999988</v>
      </c>
      <c r="P8" s="97">
        <f t="shared" ref="P8:P10" si="5">SUM(C8:O8)</f>
        <v>1386882.8900000001</v>
      </c>
      <c r="Q8" s="99">
        <v>1501383.9866259997</v>
      </c>
      <c r="R8" s="98">
        <f t="shared" ref="R8:R10" si="6">Q8-P8</f>
        <v>114501.09662599955</v>
      </c>
      <c r="S8" s="50"/>
      <c r="T8" s="22">
        <v>2253404</v>
      </c>
      <c r="U8" s="22">
        <v>708907</v>
      </c>
      <c r="V8" s="22">
        <v>545279</v>
      </c>
      <c r="W8" s="22">
        <v>0</v>
      </c>
      <c r="X8" s="22">
        <f>SUM(T8:W8)</f>
        <v>3507590</v>
      </c>
      <c r="Y8" s="6">
        <v>3289644</v>
      </c>
      <c r="Z8" s="6">
        <f>Y8-X8</f>
        <v>-217946</v>
      </c>
      <c r="AA8" s="4" t="s">
        <v>56</v>
      </c>
    </row>
    <row r="9" spans="1:27" s="41" customFormat="1" x14ac:dyDescent="0.2">
      <c r="A9" s="79">
        <v>2</v>
      </c>
      <c r="B9" s="43" t="s">
        <v>6</v>
      </c>
      <c r="C9" s="96">
        <v>0</v>
      </c>
      <c r="D9" s="96">
        <v>0</v>
      </c>
      <c r="E9" s="96">
        <v>0</v>
      </c>
      <c r="F9" s="96">
        <v>0</v>
      </c>
      <c r="G9" s="96">
        <v>0</v>
      </c>
      <c r="H9" s="96">
        <v>0</v>
      </c>
      <c r="I9" s="96">
        <v>0</v>
      </c>
      <c r="J9" s="96">
        <v>0</v>
      </c>
      <c r="K9" s="96">
        <v>0</v>
      </c>
      <c r="L9" s="96">
        <v>0</v>
      </c>
      <c r="M9" s="96">
        <v>0</v>
      </c>
      <c r="N9" s="96">
        <v>0</v>
      </c>
      <c r="O9" s="96">
        <v>0</v>
      </c>
      <c r="P9" s="97">
        <f t="shared" si="5"/>
        <v>0</v>
      </c>
      <c r="Q9" s="99">
        <v>98301.743334998071</v>
      </c>
      <c r="R9" s="98">
        <f t="shared" si="6"/>
        <v>98301.743334998071</v>
      </c>
      <c r="S9" s="50"/>
      <c r="T9" s="22">
        <v>0</v>
      </c>
      <c r="U9" s="22">
        <v>0</v>
      </c>
      <c r="V9" s="22">
        <v>0</v>
      </c>
      <c r="W9" s="22">
        <v>0</v>
      </c>
      <c r="X9" s="22">
        <f>SUM(T9:W9)</f>
        <v>0</v>
      </c>
      <c r="Y9" s="6">
        <v>81726</v>
      </c>
      <c r="Z9" s="6">
        <f t="shared" ref="Z9:Z11" si="7">Y9-X9</f>
        <v>81726</v>
      </c>
      <c r="AA9" s="4"/>
    </row>
    <row r="10" spans="1:27" s="41" customFormat="1" ht="13.5" thickBot="1" x14ac:dyDescent="0.25">
      <c r="A10" s="79">
        <v>2</v>
      </c>
      <c r="B10" s="43" t="s">
        <v>7</v>
      </c>
      <c r="C10" s="100">
        <v>0</v>
      </c>
      <c r="D10" s="100">
        <v>0</v>
      </c>
      <c r="E10" s="100">
        <v>0</v>
      </c>
      <c r="F10" s="100">
        <v>0</v>
      </c>
      <c r="G10" s="100">
        <v>84</v>
      </c>
      <c r="H10" s="100">
        <v>0</v>
      </c>
      <c r="I10" s="100">
        <v>0</v>
      </c>
      <c r="J10" s="100">
        <v>423.67</v>
      </c>
      <c r="K10" s="100">
        <v>0</v>
      </c>
      <c r="L10" s="100">
        <v>335.27</v>
      </c>
      <c r="M10" s="100">
        <v>0</v>
      </c>
      <c r="N10" s="100">
        <v>0</v>
      </c>
      <c r="O10" s="100">
        <v>3509.43</v>
      </c>
      <c r="P10" s="101">
        <f t="shared" si="5"/>
        <v>4352.37</v>
      </c>
      <c r="Q10" s="102">
        <v>143106.97666735417</v>
      </c>
      <c r="R10" s="103">
        <f t="shared" si="6"/>
        <v>138754.60666735418</v>
      </c>
      <c r="S10" s="50"/>
      <c r="T10" s="24">
        <v>0</v>
      </c>
      <c r="U10" s="24">
        <v>0</v>
      </c>
      <c r="V10" s="24">
        <v>0</v>
      </c>
      <c r="W10" s="24">
        <v>0</v>
      </c>
      <c r="X10" s="24">
        <f>SUM(T10:W10)</f>
        <v>0</v>
      </c>
      <c r="Y10" s="62">
        <v>130000</v>
      </c>
      <c r="Z10" s="62">
        <f t="shared" si="7"/>
        <v>130000</v>
      </c>
      <c r="AA10" s="4"/>
    </row>
    <row r="11" spans="1:27" s="41" customFormat="1" ht="13.5" thickTop="1" x14ac:dyDescent="0.2">
      <c r="A11" s="44"/>
      <c r="B11" s="45" t="s">
        <v>4</v>
      </c>
      <c r="C11" s="106">
        <f>SUM(C8:C10)</f>
        <v>1055215.6000000001</v>
      </c>
      <c r="D11" s="106">
        <f t="shared" ref="D11:O11" si="8">SUM(D8:D10)</f>
        <v>175150</v>
      </c>
      <c r="E11" s="106">
        <f t="shared" si="8"/>
        <v>8283</v>
      </c>
      <c r="F11" s="106">
        <f t="shared" si="8"/>
        <v>48344</v>
      </c>
      <c r="G11" s="106">
        <f t="shared" si="8"/>
        <v>399.02</v>
      </c>
      <c r="H11" s="106">
        <f t="shared" si="8"/>
        <v>0</v>
      </c>
      <c r="I11" s="106">
        <f t="shared" si="8"/>
        <v>0</v>
      </c>
      <c r="J11" s="106">
        <f t="shared" si="8"/>
        <v>6162.22</v>
      </c>
      <c r="K11" s="106">
        <f t="shared" si="8"/>
        <v>0</v>
      </c>
      <c r="L11" s="106">
        <f t="shared" si="8"/>
        <v>5690.9500000000007</v>
      </c>
      <c r="M11" s="106">
        <f t="shared" si="8"/>
        <v>5110.25</v>
      </c>
      <c r="N11" s="106">
        <f t="shared" si="8"/>
        <v>9554.49</v>
      </c>
      <c r="O11" s="106">
        <f t="shared" si="8"/>
        <v>77325.729999999981</v>
      </c>
      <c r="P11" s="48">
        <f>SUM(C11:O11)</f>
        <v>1391235.26</v>
      </c>
      <c r="Q11" s="108">
        <f>SUM(Q8:Q10)</f>
        <v>1742792.7066283519</v>
      </c>
      <c r="R11" s="109">
        <f>SUM(R8:R10)</f>
        <v>351557.44662835181</v>
      </c>
      <c r="S11" s="89"/>
      <c r="T11" s="25">
        <f t="shared" ref="T11:W11" si="9">SUM(T8:T10)</f>
        <v>2253404</v>
      </c>
      <c r="U11" s="25">
        <f t="shared" si="9"/>
        <v>708907</v>
      </c>
      <c r="V11" s="25">
        <f t="shared" si="9"/>
        <v>545279</v>
      </c>
      <c r="W11" s="25">
        <f t="shared" si="9"/>
        <v>0</v>
      </c>
      <c r="X11" s="25">
        <f>SUM(T11:W11)</f>
        <v>3507590</v>
      </c>
      <c r="Y11" s="6">
        <v>3501370</v>
      </c>
      <c r="Z11" s="6">
        <f t="shared" si="7"/>
        <v>-6220</v>
      </c>
      <c r="AA11" s="4"/>
    </row>
    <row r="12" spans="1:27" s="41" customFormat="1" x14ac:dyDescent="0.2">
      <c r="A12" s="82"/>
      <c r="B12" s="83"/>
      <c r="C12" s="104"/>
      <c r="D12" s="104"/>
      <c r="E12" s="104"/>
      <c r="F12" s="104"/>
      <c r="G12" s="104"/>
      <c r="H12" s="104"/>
      <c r="I12" s="104"/>
      <c r="J12" s="104"/>
      <c r="K12" s="104"/>
      <c r="L12" s="104"/>
      <c r="M12" s="104"/>
      <c r="N12" s="104"/>
      <c r="O12" s="104"/>
      <c r="P12" s="123"/>
      <c r="Q12" s="116"/>
      <c r="R12" s="118"/>
      <c r="S12" s="92"/>
      <c r="T12" s="26"/>
      <c r="U12" s="26"/>
      <c r="V12" s="26"/>
      <c r="W12" s="26"/>
      <c r="X12" s="26"/>
      <c r="Y12" s="9"/>
      <c r="Z12" s="10"/>
      <c r="AA12" s="10"/>
    </row>
    <row r="13" spans="1:27" s="41" customFormat="1" x14ac:dyDescent="0.2">
      <c r="A13" s="79">
        <v>3</v>
      </c>
      <c r="B13" s="43" t="s">
        <v>8</v>
      </c>
      <c r="C13" s="96">
        <v>152792.76</v>
      </c>
      <c r="D13" s="96">
        <v>47322.22</v>
      </c>
      <c r="E13" s="96">
        <v>0</v>
      </c>
      <c r="F13" s="96">
        <v>2111.48</v>
      </c>
      <c r="G13" s="96">
        <v>213.62</v>
      </c>
      <c r="H13" s="96">
        <v>0</v>
      </c>
      <c r="I13" s="96">
        <v>0</v>
      </c>
      <c r="J13" s="96">
        <v>1006.15</v>
      </c>
      <c r="K13" s="96">
        <v>3730.08</v>
      </c>
      <c r="L13" s="96">
        <v>0</v>
      </c>
      <c r="M13" s="96">
        <v>0</v>
      </c>
      <c r="N13" s="96">
        <v>0</v>
      </c>
      <c r="O13" s="96">
        <v>3295.7599999999998</v>
      </c>
      <c r="P13" s="97">
        <f t="shared" ref="P13:P16" si="10">SUM(C13:O13)</f>
        <v>210472.07</v>
      </c>
      <c r="Q13" s="99">
        <v>218938.99832164991</v>
      </c>
      <c r="R13" s="98">
        <f t="shared" ref="R13:R17" si="11">Q13-P13</f>
        <v>8466.9283216499025</v>
      </c>
      <c r="S13" s="50"/>
      <c r="T13" s="22">
        <v>0</v>
      </c>
      <c r="U13" s="22">
        <v>0</v>
      </c>
      <c r="V13" s="22">
        <v>0</v>
      </c>
      <c r="W13" s="22">
        <v>0</v>
      </c>
      <c r="X13" s="22">
        <f>SUM(T13:W13)</f>
        <v>0</v>
      </c>
      <c r="Y13" s="6">
        <v>0</v>
      </c>
      <c r="Z13" s="6">
        <f>Y13-X13</f>
        <v>0</v>
      </c>
      <c r="AA13" s="4"/>
    </row>
    <row r="14" spans="1:27" s="41" customFormat="1" x14ac:dyDescent="0.2">
      <c r="A14" s="79">
        <v>3</v>
      </c>
      <c r="B14" s="43" t="s">
        <v>9</v>
      </c>
      <c r="C14" s="96">
        <v>64287.28</v>
      </c>
      <c r="D14" s="96">
        <v>22017.84</v>
      </c>
      <c r="E14" s="96">
        <v>0</v>
      </c>
      <c r="F14" s="96">
        <v>3856.85</v>
      </c>
      <c r="G14" s="96">
        <v>88</v>
      </c>
      <c r="H14" s="96">
        <v>0</v>
      </c>
      <c r="I14" s="96">
        <v>0</v>
      </c>
      <c r="J14" s="96">
        <v>1018.37</v>
      </c>
      <c r="K14" s="96">
        <v>4463.26</v>
      </c>
      <c r="L14" s="96">
        <v>0</v>
      </c>
      <c r="M14" s="96">
        <v>0</v>
      </c>
      <c r="N14" s="96">
        <v>0</v>
      </c>
      <c r="O14" s="96">
        <v>27596.77</v>
      </c>
      <c r="P14" s="97">
        <f t="shared" si="10"/>
        <v>123328.37</v>
      </c>
      <c r="Q14" s="99">
        <v>119108.61993486351</v>
      </c>
      <c r="R14" s="98">
        <f t="shared" si="11"/>
        <v>-4219.7500651364826</v>
      </c>
      <c r="S14" s="50"/>
      <c r="T14" s="22">
        <v>0</v>
      </c>
      <c r="U14" s="22">
        <v>0</v>
      </c>
      <c r="V14" s="22">
        <v>0</v>
      </c>
      <c r="W14" s="22">
        <v>0</v>
      </c>
      <c r="X14" s="22">
        <f>SUM(T14:W14)</f>
        <v>0</v>
      </c>
      <c r="Y14" s="6">
        <v>0</v>
      </c>
      <c r="Z14" s="6">
        <f t="shared" ref="Z14:Z17" si="12">Y14-X14</f>
        <v>0</v>
      </c>
      <c r="AA14" s="4"/>
    </row>
    <row r="15" spans="1:27" s="41" customFormat="1" ht="25.5" x14ac:dyDescent="0.2">
      <c r="A15" s="79">
        <v>3</v>
      </c>
      <c r="B15" s="43" t="s">
        <v>10</v>
      </c>
      <c r="C15" s="96">
        <v>405414.45</v>
      </c>
      <c r="D15" s="96">
        <v>123536.3</v>
      </c>
      <c r="E15" s="96">
        <v>0</v>
      </c>
      <c r="F15" s="96">
        <v>4250.75</v>
      </c>
      <c r="G15" s="96">
        <v>2569.36</v>
      </c>
      <c r="H15" s="96">
        <v>0</v>
      </c>
      <c r="I15" s="96">
        <v>0</v>
      </c>
      <c r="J15" s="96">
        <v>0</v>
      </c>
      <c r="K15" s="96">
        <v>4818.7299999999996</v>
      </c>
      <c r="L15" s="96">
        <v>0</v>
      </c>
      <c r="M15" s="96">
        <v>0</v>
      </c>
      <c r="N15" s="96">
        <v>0</v>
      </c>
      <c r="O15" s="96">
        <v>62910.409999999996</v>
      </c>
      <c r="P15" s="97">
        <f t="shared" si="10"/>
        <v>603500</v>
      </c>
      <c r="Q15" s="99">
        <v>694783.86387724732</v>
      </c>
      <c r="R15" s="98">
        <f t="shared" si="11"/>
        <v>91283.86387724732</v>
      </c>
      <c r="S15" s="50"/>
      <c r="T15" s="22">
        <v>1196129</v>
      </c>
      <c r="U15" s="22">
        <v>430022</v>
      </c>
      <c r="V15" s="22">
        <v>172941.73</v>
      </c>
      <c r="W15" s="22">
        <v>149132.32999999999</v>
      </c>
      <c r="X15" s="22">
        <f>SUM(T15:W15)</f>
        <v>1948225.06</v>
      </c>
      <c r="Y15" s="6">
        <v>1904345.9400000002</v>
      </c>
      <c r="Z15" s="6">
        <f t="shared" si="12"/>
        <v>-43879.119999999879</v>
      </c>
      <c r="AA15" s="4" t="s">
        <v>57</v>
      </c>
    </row>
    <row r="16" spans="1:27" s="41" customFormat="1" ht="13.5" thickBot="1" x14ac:dyDescent="0.25">
      <c r="A16" s="79">
        <v>3</v>
      </c>
      <c r="B16" s="43" t="s">
        <v>11</v>
      </c>
      <c r="C16" s="100">
        <v>94043.38</v>
      </c>
      <c r="D16" s="100">
        <v>36963.199999999997</v>
      </c>
      <c r="E16" s="100">
        <v>0</v>
      </c>
      <c r="F16" s="100">
        <v>3856.85</v>
      </c>
      <c r="G16" s="100">
        <v>548.03</v>
      </c>
      <c r="H16" s="100">
        <v>0</v>
      </c>
      <c r="I16" s="100">
        <v>0</v>
      </c>
      <c r="J16" s="100">
        <v>341.36</v>
      </c>
      <c r="K16" s="100">
        <v>3730.08</v>
      </c>
      <c r="L16" s="100">
        <v>0</v>
      </c>
      <c r="M16" s="100">
        <v>0</v>
      </c>
      <c r="N16" s="100">
        <v>0</v>
      </c>
      <c r="O16" s="100">
        <v>4055.19</v>
      </c>
      <c r="P16" s="101">
        <f t="shared" si="10"/>
        <v>143538.08999999997</v>
      </c>
      <c r="Q16" s="102">
        <v>173536.45598427713</v>
      </c>
      <c r="R16" s="103">
        <f t="shared" si="11"/>
        <v>29998.365984277159</v>
      </c>
      <c r="S16" s="89"/>
      <c r="T16" s="24">
        <v>0</v>
      </c>
      <c r="U16" s="24">
        <v>0</v>
      </c>
      <c r="V16" s="24">
        <v>0</v>
      </c>
      <c r="W16" s="24">
        <v>0</v>
      </c>
      <c r="X16" s="24">
        <f>SUM(T16:W16)</f>
        <v>0</v>
      </c>
      <c r="Y16" s="62">
        <v>0</v>
      </c>
      <c r="Z16" s="62">
        <f t="shared" si="12"/>
        <v>0</v>
      </c>
      <c r="AA16" s="4"/>
    </row>
    <row r="17" spans="1:27" s="41" customFormat="1" ht="13.5" thickTop="1" x14ac:dyDescent="0.2">
      <c r="A17" s="44"/>
      <c r="B17" s="45" t="s">
        <v>4</v>
      </c>
      <c r="C17" s="46">
        <f>SUM(C13:C16)</f>
        <v>716537.87</v>
      </c>
      <c r="D17" s="46">
        <f t="shared" ref="D17:O17" si="13">SUM(D13:D16)</f>
        <v>229839.56</v>
      </c>
      <c r="E17" s="46">
        <f t="shared" si="13"/>
        <v>0</v>
      </c>
      <c r="F17" s="46">
        <f t="shared" si="13"/>
        <v>14075.93</v>
      </c>
      <c r="G17" s="46">
        <f t="shared" si="13"/>
        <v>3419.01</v>
      </c>
      <c r="H17" s="46">
        <f t="shared" si="13"/>
        <v>0</v>
      </c>
      <c r="I17" s="46">
        <f t="shared" si="13"/>
        <v>0</v>
      </c>
      <c r="J17" s="46">
        <f t="shared" si="13"/>
        <v>2365.88</v>
      </c>
      <c r="K17" s="46">
        <f t="shared" si="13"/>
        <v>16742.150000000001</v>
      </c>
      <c r="L17" s="46">
        <f t="shared" si="13"/>
        <v>0</v>
      </c>
      <c r="M17" s="46">
        <f t="shared" si="13"/>
        <v>0</v>
      </c>
      <c r="N17" s="46">
        <f t="shared" si="13"/>
        <v>0</v>
      </c>
      <c r="O17" s="46">
        <f t="shared" si="13"/>
        <v>97858.13</v>
      </c>
      <c r="P17" s="48">
        <f>SUM(C17:O17)</f>
        <v>1080838.53</v>
      </c>
      <c r="Q17" s="47">
        <f>SUM(Q13:Q16)</f>
        <v>1206367.938118038</v>
      </c>
      <c r="R17" s="49">
        <f t="shared" si="11"/>
        <v>125529.40811803797</v>
      </c>
      <c r="S17" s="92"/>
      <c r="T17" s="25">
        <f t="shared" ref="T17:W17" si="14">SUM(T13:T16)</f>
        <v>1196129</v>
      </c>
      <c r="U17" s="25">
        <f t="shared" si="14"/>
        <v>430022</v>
      </c>
      <c r="V17" s="25">
        <f t="shared" si="14"/>
        <v>172941.73</v>
      </c>
      <c r="W17" s="25">
        <f t="shared" si="14"/>
        <v>149132.32999999999</v>
      </c>
      <c r="X17" s="25">
        <f>SUM(T17:W17)</f>
        <v>1948225.06</v>
      </c>
      <c r="Y17" s="6">
        <v>1904345.9400000002</v>
      </c>
      <c r="Z17" s="6">
        <f t="shared" si="12"/>
        <v>-43879.119999999879</v>
      </c>
      <c r="AA17" s="4"/>
    </row>
    <row r="18" spans="1:27" x14ac:dyDescent="0.2">
      <c r="A18" s="80"/>
      <c r="B18" s="81"/>
      <c r="C18" s="104"/>
      <c r="D18" s="104"/>
      <c r="E18" s="104"/>
      <c r="F18" s="104"/>
      <c r="G18" s="104"/>
      <c r="H18" s="104"/>
      <c r="I18" s="104"/>
      <c r="J18" s="104"/>
      <c r="K18" s="104"/>
      <c r="L18" s="104"/>
      <c r="M18" s="104"/>
      <c r="N18" s="104"/>
      <c r="O18" s="104"/>
      <c r="P18" s="81"/>
      <c r="Q18" s="104"/>
      <c r="R18" s="105"/>
      <c r="S18" s="50"/>
      <c r="T18" s="26"/>
      <c r="U18" s="26"/>
      <c r="V18" s="26"/>
      <c r="W18" s="26"/>
      <c r="X18" s="26"/>
      <c r="Y18" s="9"/>
      <c r="Z18" s="10"/>
      <c r="AA18" s="10"/>
    </row>
    <row r="19" spans="1:27" x14ac:dyDescent="0.2">
      <c r="A19" s="79">
        <v>4</v>
      </c>
      <c r="B19" s="43" t="s">
        <v>12</v>
      </c>
      <c r="C19" s="96">
        <v>99863.89</v>
      </c>
      <c r="D19" s="96">
        <v>24307.77</v>
      </c>
      <c r="E19" s="96">
        <v>3668.66</v>
      </c>
      <c r="F19" s="96">
        <v>30272.75</v>
      </c>
      <c r="G19" s="96">
        <v>0</v>
      </c>
      <c r="H19" s="96">
        <v>0</v>
      </c>
      <c r="I19" s="96">
        <v>0</v>
      </c>
      <c r="J19" s="96">
        <v>0</v>
      </c>
      <c r="K19" s="96">
        <v>1251</v>
      </c>
      <c r="L19" s="96">
        <v>450</v>
      </c>
      <c r="M19" s="96">
        <v>19223.73</v>
      </c>
      <c r="N19" s="96">
        <v>255.23</v>
      </c>
      <c r="O19" s="96">
        <v>26945.15</v>
      </c>
      <c r="P19" s="97">
        <f t="shared" ref="P19:P22" si="15">SUM(C19:O19)</f>
        <v>206238.18000000002</v>
      </c>
      <c r="Q19" s="99">
        <v>310881.95546492771</v>
      </c>
      <c r="R19" s="98">
        <f t="shared" ref="R19:R23" si="16">Q19-P19</f>
        <v>104643.77546492769</v>
      </c>
      <c r="S19" s="50"/>
      <c r="T19" s="22">
        <v>0</v>
      </c>
      <c r="U19" s="22">
        <v>0</v>
      </c>
      <c r="V19" s="22">
        <v>0</v>
      </c>
      <c r="W19" s="22">
        <v>0</v>
      </c>
      <c r="X19" s="22">
        <f>SUM(T19:W19)</f>
        <v>0</v>
      </c>
      <c r="Y19" s="6">
        <v>147178</v>
      </c>
      <c r="Z19" s="6">
        <f>Y19-X19</f>
        <v>147178</v>
      </c>
    </row>
    <row r="20" spans="1:27" x14ac:dyDescent="0.2">
      <c r="A20" s="79">
        <v>4</v>
      </c>
      <c r="B20" s="43" t="s">
        <v>13</v>
      </c>
      <c r="C20" s="96">
        <v>258650.23999999999</v>
      </c>
      <c r="D20" s="96">
        <v>79780.960000000006</v>
      </c>
      <c r="E20" s="96">
        <v>485.36</v>
      </c>
      <c r="F20" s="96">
        <v>22832</v>
      </c>
      <c r="G20" s="96">
        <v>293.49</v>
      </c>
      <c r="H20" s="96">
        <v>0</v>
      </c>
      <c r="I20" s="96">
        <v>0</v>
      </c>
      <c r="J20" s="96">
        <v>0</v>
      </c>
      <c r="K20" s="96">
        <v>0</v>
      </c>
      <c r="L20" s="96">
        <v>0</v>
      </c>
      <c r="M20" s="96">
        <v>3636.28</v>
      </c>
      <c r="N20" s="96">
        <v>0</v>
      </c>
      <c r="O20" s="96">
        <v>10858.52</v>
      </c>
      <c r="P20" s="97">
        <f t="shared" si="15"/>
        <v>376536.85000000003</v>
      </c>
      <c r="Q20" s="99">
        <v>492687.7796954402</v>
      </c>
      <c r="R20" s="98">
        <f t="shared" si="16"/>
        <v>116150.92969544017</v>
      </c>
      <c r="S20" s="50"/>
      <c r="T20" s="22">
        <v>0</v>
      </c>
      <c r="U20" s="22">
        <v>0</v>
      </c>
      <c r="V20" s="22">
        <v>0</v>
      </c>
      <c r="W20" s="22">
        <v>0</v>
      </c>
      <c r="X20" s="22">
        <f>SUM(T20:W20)</f>
        <v>0</v>
      </c>
      <c r="Y20" s="6">
        <v>137200</v>
      </c>
      <c r="Z20" s="6">
        <f t="shared" ref="Z20:Z23" si="17">Y20-X20</f>
        <v>137200</v>
      </c>
    </row>
    <row r="21" spans="1:27" x14ac:dyDescent="0.2">
      <c r="A21" s="79">
        <v>4</v>
      </c>
      <c r="B21" s="43" t="s">
        <v>14</v>
      </c>
      <c r="C21" s="96">
        <v>112249.9</v>
      </c>
      <c r="D21" s="96">
        <v>31963.71</v>
      </c>
      <c r="E21" s="96">
        <v>2654.88</v>
      </c>
      <c r="F21" s="96">
        <v>1794.21</v>
      </c>
      <c r="G21" s="96">
        <v>98</v>
      </c>
      <c r="H21" s="96">
        <v>5400</v>
      </c>
      <c r="I21" s="96">
        <v>1944.29</v>
      </c>
      <c r="J21" s="96">
        <v>0</v>
      </c>
      <c r="K21" s="96">
        <v>150</v>
      </c>
      <c r="L21" s="96">
        <v>0</v>
      </c>
      <c r="M21" s="96">
        <v>2235.4</v>
      </c>
      <c r="N21" s="96">
        <v>532.99</v>
      </c>
      <c r="O21" s="96">
        <v>14494.47</v>
      </c>
      <c r="P21" s="97">
        <f t="shared" si="15"/>
        <v>173517.84999999998</v>
      </c>
      <c r="Q21" s="99">
        <v>213965.69054899033</v>
      </c>
      <c r="R21" s="98">
        <f t="shared" si="16"/>
        <v>40447.840548990353</v>
      </c>
      <c r="S21" s="50"/>
      <c r="T21" s="22">
        <v>0</v>
      </c>
      <c r="U21" s="22">
        <v>0</v>
      </c>
      <c r="V21" s="22">
        <v>0</v>
      </c>
      <c r="W21" s="22">
        <v>0</v>
      </c>
      <c r="X21" s="22">
        <f>SUM(T21:W21)</f>
        <v>0</v>
      </c>
      <c r="Y21" s="6">
        <v>90000</v>
      </c>
      <c r="Z21" s="6">
        <f t="shared" si="17"/>
        <v>90000</v>
      </c>
    </row>
    <row r="22" spans="1:27" ht="13.5" thickBot="1" x14ac:dyDescent="0.25">
      <c r="A22" s="79">
        <v>4</v>
      </c>
      <c r="B22" s="43" t="s">
        <v>15</v>
      </c>
      <c r="C22" s="100">
        <v>104134.5</v>
      </c>
      <c r="D22" s="100">
        <v>23713.88</v>
      </c>
      <c r="E22" s="100">
        <v>0</v>
      </c>
      <c r="F22" s="100">
        <v>0</v>
      </c>
      <c r="G22" s="100">
        <v>138</v>
      </c>
      <c r="H22" s="100">
        <v>0</v>
      </c>
      <c r="I22" s="100">
        <v>0</v>
      </c>
      <c r="J22" s="100">
        <v>0</v>
      </c>
      <c r="K22" s="100">
        <v>0</v>
      </c>
      <c r="L22" s="100">
        <v>0</v>
      </c>
      <c r="M22" s="100">
        <v>1220.81</v>
      </c>
      <c r="N22" s="100">
        <v>163.27000000000001</v>
      </c>
      <c r="O22" s="100">
        <v>5050.71</v>
      </c>
      <c r="P22" s="101">
        <f t="shared" si="15"/>
        <v>134421.17000000001</v>
      </c>
      <c r="Q22" s="102">
        <v>184449.37307884527</v>
      </c>
      <c r="R22" s="103">
        <f t="shared" si="16"/>
        <v>50028.203078845254</v>
      </c>
      <c r="S22" s="89"/>
      <c r="T22" s="24">
        <v>0</v>
      </c>
      <c r="U22" s="24">
        <v>0</v>
      </c>
      <c r="V22" s="24">
        <v>0</v>
      </c>
      <c r="W22" s="24">
        <v>0</v>
      </c>
      <c r="X22" s="24">
        <f>SUM(T22:W22)</f>
        <v>0</v>
      </c>
      <c r="Y22" s="62">
        <v>89000</v>
      </c>
      <c r="Z22" s="62">
        <f t="shared" si="17"/>
        <v>89000</v>
      </c>
    </row>
    <row r="23" spans="1:27" ht="77.25" thickTop="1" x14ac:dyDescent="0.2">
      <c r="A23" s="44"/>
      <c r="B23" s="45" t="s">
        <v>4</v>
      </c>
      <c r="C23" s="106">
        <f>SUM(C19:C22)</f>
        <v>574898.53</v>
      </c>
      <c r="D23" s="106">
        <f t="shared" ref="D23:O23" si="18">SUM(D19:D22)</f>
        <v>159766.32</v>
      </c>
      <c r="E23" s="106">
        <f t="shared" si="18"/>
        <v>6808.9</v>
      </c>
      <c r="F23" s="106">
        <f t="shared" si="18"/>
        <v>54898.96</v>
      </c>
      <c r="G23" s="106">
        <f t="shared" si="18"/>
        <v>529.49</v>
      </c>
      <c r="H23" s="106">
        <f t="shared" si="18"/>
        <v>5400</v>
      </c>
      <c r="I23" s="106">
        <f t="shared" si="18"/>
        <v>1944.29</v>
      </c>
      <c r="J23" s="106">
        <f t="shared" si="18"/>
        <v>0</v>
      </c>
      <c r="K23" s="106">
        <f t="shared" si="18"/>
        <v>1401</v>
      </c>
      <c r="L23" s="106">
        <f t="shared" si="18"/>
        <v>450</v>
      </c>
      <c r="M23" s="106">
        <f t="shared" si="18"/>
        <v>26316.22</v>
      </c>
      <c r="N23" s="106">
        <f t="shared" si="18"/>
        <v>951.49</v>
      </c>
      <c r="O23" s="106">
        <f t="shared" si="18"/>
        <v>57348.85</v>
      </c>
      <c r="P23" s="48">
        <f>SUM(C23:O23)</f>
        <v>890714.05</v>
      </c>
      <c r="Q23" s="47">
        <f>SUM(Q19:Q22)</f>
        <v>1201984.7987882034</v>
      </c>
      <c r="R23" s="49">
        <f t="shared" si="16"/>
        <v>311270.74878820335</v>
      </c>
      <c r="S23" s="92"/>
      <c r="T23" s="25">
        <v>1172156</v>
      </c>
      <c r="U23" s="25">
        <v>412993</v>
      </c>
      <c r="V23" s="25">
        <v>387003</v>
      </c>
      <c r="W23" s="25">
        <f t="shared" ref="W23" si="19">SUM(W19:W22)</f>
        <v>0</v>
      </c>
      <c r="X23" s="25">
        <f>SUM(T23:W23)</f>
        <v>1972152</v>
      </c>
      <c r="Y23" s="6">
        <v>2254624</v>
      </c>
      <c r="Z23" s="6">
        <f t="shared" si="17"/>
        <v>282472</v>
      </c>
      <c r="AA23" s="43" t="s">
        <v>58</v>
      </c>
    </row>
    <row r="24" spans="1:27" x14ac:dyDescent="0.2">
      <c r="A24" s="82"/>
      <c r="B24" s="83"/>
      <c r="C24" s="110"/>
      <c r="D24" s="110"/>
      <c r="E24" s="104"/>
      <c r="F24" s="104"/>
      <c r="G24" s="104"/>
      <c r="H24" s="104"/>
      <c r="I24" s="104"/>
      <c r="J24" s="104"/>
      <c r="K24" s="104"/>
      <c r="L24" s="104"/>
      <c r="M24" s="104"/>
      <c r="N24" s="104"/>
      <c r="O24" s="104"/>
      <c r="P24" s="111"/>
      <c r="Q24" s="104"/>
      <c r="R24" s="105"/>
      <c r="S24" s="50"/>
      <c r="T24" s="26"/>
      <c r="U24" s="26"/>
      <c r="V24" s="26"/>
      <c r="W24" s="26"/>
      <c r="X24" s="26"/>
      <c r="Y24" s="9"/>
      <c r="Z24" s="10"/>
      <c r="AA24" s="10"/>
    </row>
    <row r="25" spans="1:27" x14ac:dyDescent="0.2">
      <c r="A25" s="79">
        <v>5</v>
      </c>
      <c r="B25" s="43" t="s">
        <v>16</v>
      </c>
      <c r="C25" s="96">
        <v>301763.08</v>
      </c>
      <c r="D25" s="96">
        <v>34138.97</v>
      </c>
      <c r="E25" s="96">
        <v>0</v>
      </c>
      <c r="F25" s="96">
        <v>0</v>
      </c>
      <c r="G25" s="96">
        <v>0</v>
      </c>
      <c r="H25" s="96">
        <v>0</v>
      </c>
      <c r="I25" s="96">
        <v>0</v>
      </c>
      <c r="J25" s="96">
        <v>0</v>
      </c>
      <c r="K25" s="96">
        <v>140.4</v>
      </c>
      <c r="L25" s="96">
        <v>0</v>
      </c>
      <c r="M25" s="96">
        <v>0</v>
      </c>
      <c r="N25" s="96">
        <v>0</v>
      </c>
      <c r="O25" s="96">
        <v>1688.29</v>
      </c>
      <c r="P25" s="97">
        <f t="shared" ref="P25:P26" si="20">SUM(C25:O25)</f>
        <v>337730.74000000005</v>
      </c>
      <c r="Q25" s="99">
        <v>458941.96275344817</v>
      </c>
      <c r="R25" s="98">
        <f t="shared" ref="R25:R27" si="21">Q25-P25</f>
        <v>121211.22275344812</v>
      </c>
      <c r="S25" s="89"/>
      <c r="T25" s="22">
        <v>2321190.0099999998</v>
      </c>
      <c r="U25" s="22">
        <v>627158.25</v>
      </c>
      <c r="V25" s="22">
        <v>969561.5</v>
      </c>
      <c r="W25" s="22">
        <v>0</v>
      </c>
      <c r="X25" s="22">
        <f>SUM(T25:W25)</f>
        <v>3917909.76</v>
      </c>
      <c r="Y25" s="6">
        <v>4140130.29</v>
      </c>
      <c r="Z25" s="6">
        <f>Y25-X25</f>
        <v>222220.53000000026</v>
      </c>
    </row>
    <row r="26" spans="1:27" ht="13.5" thickBot="1" x14ac:dyDescent="0.25">
      <c r="A26" s="79">
        <v>5</v>
      </c>
      <c r="B26" s="43" t="s">
        <v>17</v>
      </c>
      <c r="C26" s="100">
        <v>2526509.5</v>
      </c>
      <c r="D26" s="100">
        <v>338374.67000000004</v>
      </c>
      <c r="E26" s="100">
        <v>0</v>
      </c>
      <c r="F26" s="100">
        <v>13892.55</v>
      </c>
      <c r="G26" s="100">
        <v>392.12</v>
      </c>
      <c r="H26" s="100">
        <v>14408.34</v>
      </c>
      <c r="I26" s="100">
        <v>1157.8399999999999</v>
      </c>
      <c r="J26" s="100">
        <v>17725.09</v>
      </c>
      <c r="K26" s="100">
        <v>14173.44</v>
      </c>
      <c r="L26" s="100">
        <v>2133.36</v>
      </c>
      <c r="M26" s="100">
        <v>46806.39</v>
      </c>
      <c r="N26" s="100">
        <v>5245.75</v>
      </c>
      <c r="O26" s="100">
        <v>95772.59</v>
      </c>
      <c r="P26" s="101">
        <f t="shared" si="20"/>
        <v>3076591.6399999992</v>
      </c>
      <c r="Q26" s="102">
        <v>3270250.4578269906</v>
      </c>
      <c r="R26" s="103">
        <f t="shared" si="21"/>
        <v>193658.81782699144</v>
      </c>
      <c r="S26" s="92"/>
      <c r="T26" s="24">
        <v>3234741.8</v>
      </c>
      <c r="U26" s="24">
        <v>642087.06000000006</v>
      </c>
      <c r="V26" s="24">
        <v>393063.1</v>
      </c>
      <c r="W26" s="24">
        <v>0</v>
      </c>
      <c r="X26" s="24">
        <f>SUM(T26:W26)</f>
        <v>4269891.96</v>
      </c>
      <c r="Y26" s="62">
        <v>5187346.0599999996</v>
      </c>
      <c r="Z26" s="62">
        <f t="shared" ref="Z26:Z27" si="22">Y26-X26</f>
        <v>917454.09999999963</v>
      </c>
    </row>
    <row r="27" spans="1:27" ht="13.5" thickTop="1" x14ac:dyDescent="0.2">
      <c r="A27" s="44"/>
      <c r="B27" s="45" t="s">
        <v>4</v>
      </c>
      <c r="C27" s="46">
        <f>SUM(C25:C26)</f>
        <v>2828272.58</v>
      </c>
      <c r="D27" s="46">
        <f>SUM(D25:D26)</f>
        <v>372513.64</v>
      </c>
      <c r="E27" s="46">
        <f t="shared" ref="E27:O27" si="23">SUM(E25:E26)</f>
        <v>0</v>
      </c>
      <c r="F27" s="46">
        <f t="shared" si="23"/>
        <v>13892.55</v>
      </c>
      <c r="G27" s="46">
        <f t="shared" si="23"/>
        <v>392.12</v>
      </c>
      <c r="H27" s="46">
        <f t="shared" si="23"/>
        <v>14408.34</v>
      </c>
      <c r="I27" s="46">
        <f t="shared" si="23"/>
        <v>1157.8399999999999</v>
      </c>
      <c r="J27" s="46">
        <f t="shared" si="23"/>
        <v>17725.09</v>
      </c>
      <c r="K27" s="46">
        <f t="shared" si="23"/>
        <v>14313.84</v>
      </c>
      <c r="L27" s="46">
        <f t="shared" si="23"/>
        <v>2133.36</v>
      </c>
      <c r="M27" s="46">
        <f t="shared" si="23"/>
        <v>46806.39</v>
      </c>
      <c r="N27" s="46">
        <f t="shared" si="23"/>
        <v>5245.75</v>
      </c>
      <c r="O27" s="46">
        <f t="shared" si="23"/>
        <v>97460.87999999999</v>
      </c>
      <c r="P27" s="48">
        <f>SUM(P25:P26)</f>
        <v>3414322.3799999994</v>
      </c>
      <c r="Q27" s="47">
        <f>SUM(Q25:Q26)</f>
        <v>3729192.4205804388</v>
      </c>
      <c r="R27" s="49">
        <f t="shared" si="21"/>
        <v>314870.04058043938</v>
      </c>
      <c r="S27" s="50"/>
      <c r="T27" s="25">
        <f t="shared" ref="T27:W27" si="24">SUM(T25:T26)</f>
        <v>5555931.8099999996</v>
      </c>
      <c r="U27" s="25">
        <f t="shared" si="24"/>
        <v>1269245.31</v>
      </c>
      <c r="V27" s="25">
        <f t="shared" si="24"/>
        <v>1362624.6</v>
      </c>
      <c r="W27" s="25">
        <f t="shared" si="24"/>
        <v>0</v>
      </c>
      <c r="X27" s="25">
        <f>SUM(T27:W27)</f>
        <v>8187801.7199999988</v>
      </c>
      <c r="Y27" s="6">
        <v>9327476.3499999996</v>
      </c>
      <c r="Z27" s="6">
        <f t="shared" si="22"/>
        <v>1139674.6300000008</v>
      </c>
    </row>
    <row r="28" spans="1:27" x14ac:dyDescent="0.2">
      <c r="A28" s="82"/>
      <c r="B28" s="83"/>
      <c r="C28" s="110"/>
      <c r="D28" s="110"/>
      <c r="E28" s="104"/>
      <c r="F28" s="104"/>
      <c r="G28" s="104"/>
      <c r="H28" s="104"/>
      <c r="I28" s="104"/>
      <c r="J28" s="104"/>
      <c r="K28" s="104"/>
      <c r="L28" s="104"/>
      <c r="M28" s="104"/>
      <c r="N28" s="104"/>
      <c r="O28" s="104"/>
      <c r="P28" s="111"/>
      <c r="Q28" s="104"/>
      <c r="R28" s="105"/>
      <c r="S28" s="50"/>
      <c r="T28" s="26"/>
      <c r="U28" s="26"/>
      <c r="V28" s="26"/>
      <c r="W28" s="26"/>
      <c r="X28" s="26"/>
      <c r="Y28" s="9"/>
      <c r="Z28" s="10"/>
      <c r="AA28" s="10"/>
    </row>
    <row r="29" spans="1:27" x14ac:dyDescent="0.2">
      <c r="A29" s="79">
        <v>6</v>
      </c>
      <c r="B29" s="43" t="s">
        <v>18</v>
      </c>
      <c r="C29" s="96">
        <v>0</v>
      </c>
      <c r="D29" s="96">
        <v>0</v>
      </c>
      <c r="E29" s="96">
        <v>0</v>
      </c>
      <c r="F29" s="96">
        <v>128.52099999999999</v>
      </c>
      <c r="G29" s="96">
        <v>156.47999999999999</v>
      </c>
      <c r="H29" s="96">
        <v>0</v>
      </c>
      <c r="I29" s="96">
        <v>0</v>
      </c>
      <c r="J29" s="96">
        <v>0</v>
      </c>
      <c r="K29" s="96">
        <v>217.08</v>
      </c>
      <c r="L29" s="96">
        <v>147.54</v>
      </c>
      <c r="M29" s="96">
        <v>0</v>
      </c>
      <c r="N29" s="96">
        <v>628.70000000000005</v>
      </c>
      <c r="O29" s="96">
        <v>1379.46</v>
      </c>
      <c r="P29" s="97">
        <f t="shared" ref="P29:P31" si="25">SUM(C29:O29)</f>
        <v>2657.7809999999999</v>
      </c>
      <c r="Q29" s="99">
        <v>247182.68806666892</v>
      </c>
      <c r="R29" s="98">
        <f t="shared" ref="R29:R32" si="26">Q29-P29</f>
        <v>244524.90706666894</v>
      </c>
      <c r="S29" s="89"/>
      <c r="T29" s="22">
        <v>1302685.2</v>
      </c>
      <c r="U29" s="22">
        <v>399538.67</v>
      </c>
      <c r="V29" s="22">
        <v>275597.05</v>
      </c>
      <c r="W29" s="22">
        <v>44131.67</v>
      </c>
      <c r="X29" s="22">
        <f>SUM(T29:W29)</f>
        <v>2021952.5899999999</v>
      </c>
      <c r="Y29" s="6">
        <v>1607492.8900000001</v>
      </c>
      <c r="Z29" s="6">
        <f>Y29-X29</f>
        <v>-414459.69999999972</v>
      </c>
    </row>
    <row r="30" spans="1:27" x14ac:dyDescent="0.2">
      <c r="A30" s="79">
        <v>6</v>
      </c>
      <c r="B30" s="43" t="s">
        <v>19</v>
      </c>
      <c r="C30" s="96">
        <v>0</v>
      </c>
      <c r="D30" s="96">
        <v>0</v>
      </c>
      <c r="E30" s="96">
        <v>0</v>
      </c>
      <c r="F30" s="96">
        <v>301.39</v>
      </c>
      <c r="G30" s="96">
        <v>0</v>
      </c>
      <c r="H30" s="96">
        <v>0</v>
      </c>
      <c r="I30" s="96">
        <v>0</v>
      </c>
      <c r="J30" s="96">
        <v>0</v>
      </c>
      <c r="K30" s="96">
        <v>383.77</v>
      </c>
      <c r="L30" s="96">
        <v>6832.35</v>
      </c>
      <c r="M30" s="96">
        <v>0</v>
      </c>
      <c r="N30" s="96">
        <v>0</v>
      </c>
      <c r="O30" s="96">
        <v>868.44</v>
      </c>
      <c r="P30" s="97">
        <f t="shared" si="25"/>
        <v>8385.9500000000007</v>
      </c>
      <c r="Q30" s="99">
        <v>166201.7741498226</v>
      </c>
      <c r="R30" s="98">
        <f t="shared" si="26"/>
        <v>157815.82414982258</v>
      </c>
      <c r="S30" s="92"/>
      <c r="T30" s="22">
        <v>0</v>
      </c>
      <c r="U30" s="22">
        <v>0</v>
      </c>
      <c r="V30" s="22">
        <v>0</v>
      </c>
      <c r="W30" s="22">
        <v>0</v>
      </c>
      <c r="X30" s="22">
        <f>SUM(T30:W30)</f>
        <v>0</v>
      </c>
      <c r="Y30" s="6">
        <v>92055</v>
      </c>
      <c r="Z30" s="6">
        <f t="shared" ref="Z30:Z32" si="27">Y30-X30</f>
        <v>92055</v>
      </c>
    </row>
    <row r="31" spans="1:27" ht="13.5" thickBot="1" x14ac:dyDescent="0.25">
      <c r="A31" s="79">
        <v>6</v>
      </c>
      <c r="B31" s="43" t="s">
        <v>20</v>
      </c>
      <c r="C31" s="100">
        <v>665545.26</v>
      </c>
      <c r="D31" s="100">
        <v>182753.1</v>
      </c>
      <c r="E31" s="100">
        <v>0</v>
      </c>
      <c r="F31" s="100">
        <v>751.17</v>
      </c>
      <c r="G31" s="100">
        <v>1080.24</v>
      </c>
      <c r="H31" s="100">
        <v>0</v>
      </c>
      <c r="I31" s="100">
        <v>0</v>
      </c>
      <c r="J31" s="100">
        <v>12628.02</v>
      </c>
      <c r="K31" s="100">
        <v>1301.1300000000001</v>
      </c>
      <c r="L31" s="100">
        <v>9369.4500000000007</v>
      </c>
      <c r="M31" s="100">
        <v>6412.5</v>
      </c>
      <c r="N31" s="100">
        <v>0</v>
      </c>
      <c r="O31" s="100">
        <v>9273.5499999999993</v>
      </c>
      <c r="P31" s="101">
        <f t="shared" si="25"/>
        <v>889114.42</v>
      </c>
      <c r="Q31" s="102">
        <v>602881.04241660552</v>
      </c>
      <c r="R31" s="103">
        <f t="shared" si="26"/>
        <v>-286233.37758339453</v>
      </c>
      <c r="S31" s="52"/>
      <c r="T31" s="24">
        <v>0</v>
      </c>
      <c r="U31" s="24">
        <v>0</v>
      </c>
      <c r="V31" s="24">
        <v>0</v>
      </c>
      <c r="W31" s="24">
        <v>0</v>
      </c>
      <c r="X31" s="24">
        <f>SUM(T31:W31)</f>
        <v>0</v>
      </c>
      <c r="Y31" s="62">
        <v>446799.7</v>
      </c>
      <c r="Z31" s="62">
        <f t="shared" si="27"/>
        <v>446799.7</v>
      </c>
    </row>
    <row r="32" spans="1:27" ht="64.5" thickTop="1" x14ac:dyDescent="0.2">
      <c r="A32" s="44"/>
      <c r="B32" s="45" t="s">
        <v>4</v>
      </c>
      <c r="C32" s="46">
        <f>SUM(C29:C31)</f>
        <v>665545.26</v>
      </c>
      <c r="D32" s="46">
        <f t="shared" ref="D32:O32" si="28">SUM(D29:D31)</f>
        <v>182753.1</v>
      </c>
      <c r="E32" s="46">
        <f t="shared" si="28"/>
        <v>0</v>
      </c>
      <c r="F32" s="46">
        <f t="shared" si="28"/>
        <v>1181.0809999999999</v>
      </c>
      <c r="G32" s="46">
        <f t="shared" si="28"/>
        <v>1236.72</v>
      </c>
      <c r="H32" s="46">
        <f t="shared" si="28"/>
        <v>0</v>
      </c>
      <c r="I32" s="46">
        <f t="shared" si="28"/>
        <v>0</v>
      </c>
      <c r="J32" s="46">
        <f t="shared" si="28"/>
        <v>12628.02</v>
      </c>
      <c r="K32" s="46">
        <f t="shared" si="28"/>
        <v>1901.98</v>
      </c>
      <c r="L32" s="46">
        <f t="shared" si="28"/>
        <v>16349.34</v>
      </c>
      <c r="M32" s="46">
        <f t="shared" si="28"/>
        <v>6412.5</v>
      </c>
      <c r="N32" s="46">
        <f t="shared" si="28"/>
        <v>628.70000000000005</v>
      </c>
      <c r="O32" s="46">
        <f t="shared" si="28"/>
        <v>11521.449999999999</v>
      </c>
      <c r="P32" s="48">
        <f>SUM(C32:O32)</f>
        <v>900158.15099999984</v>
      </c>
      <c r="Q32" s="47">
        <f>SUM(Q29:Q31)</f>
        <v>1016265.504633097</v>
      </c>
      <c r="R32" s="49">
        <f t="shared" si="26"/>
        <v>116107.35363309714</v>
      </c>
      <c r="S32" s="52"/>
      <c r="T32" s="25">
        <f t="shared" ref="T32:W32" si="29">SUM(T29:T31)</f>
        <v>1302685.2</v>
      </c>
      <c r="U32" s="25">
        <f t="shared" si="29"/>
        <v>399538.67</v>
      </c>
      <c r="V32" s="25">
        <f t="shared" si="29"/>
        <v>275597.05</v>
      </c>
      <c r="W32" s="25">
        <f t="shared" si="29"/>
        <v>44131.67</v>
      </c>
      <c r="X32" s="25">
        <f>SUM(T32:W32)</f>
        <v>2021952.5899999999</v>
      </c>
      <c r="Y32" s="6">
        <v>2146347.59</v>
      </c>
      <c r="Z32" s="6">
        <f t="shared" si="27"/>
        <v>124395</v>
      </c>
      <c r="AA32" s="43" t="s">
        <v>59</v>
      </c>
    </row>
    <row r="33" spans="1:27" x14ac:dyDescent="0.2">
      <c r="A33" s="80"/>
      <c r="B33" s="81"/>
      <c r="C33" s="104"/>
      <c r="D33" s="104"/>
      <c r="E33" s="104"/>
      <c r="F33" s="104"/>
      <c r="G33" s="104"/>
      <c r="H33" s="104"/>
      <c r="I33" s="104"/>
      <c r="J33" s="104"/>
      <c r="K33" s="104"/>
      <c r="L33" s="104"/>
      <c r="M33" s="104"/>
      <c r="N33" s="104"/>
      <c r="O33" s="104"/>
      <c r="P33" s="81"/>
      <c r="Q33" s="104"/>
      <c r="R33" s="105"/>
      <c r="S33" s="89"/>
      <c r="T33" s="26"/>
      <c r="U33" s="26"/>
      <c r="V33" s="26"/>
      <c r="W33" s="26"/>
      <c r="X33" s="26"/>
      <c r="Y33" s="9"/>
      <c r="Z33" s="10"/>
      <c r="AA33" s="10"/>
    </row>
    <row r="34" spans="1:27" x14ac:dyDescent="0.2">
      <c r="A34" s="79">
        <v>7</v>
      </c>
      <c r="B34" s="43" t="s">
        <v>21</v>
      </c>
      <c r="C34" s="96">
        <v>261351.18</v>
      </c>
      <c r="D34" s="96">
        <v>71712.709999999992</v>
      </c>
      <c r="E34" s="96">
        <v>0</v>
      </c>
      <c r="F34" s="96">
        <v>2915.45</v>
      </c>
      <c r="G34" s="96">
        <v>915.88</v>
      </c>
      <c r="H34" s="96">
        <v>13200</v>
      </c>
      <c r="I34" s="96">
        <v>3524.45</v>
      </c>
      <c r="J34" s="96">
        <v>1955.98</v>
      </c>
      <c r="K34" s="96">
        <v>102.06</v>
      </c>
      <c r="L34" s="96">
        <v>114.29</v>
      </c>
      <c r="M34" s="96">
        <v>4894.26</v>
      </c>
      <c r="N34" s="96">
        <v>120</v>
      </c>
      <c r="O34" s="96">
        <v>5798.4</v>
      </c>
      <c r="P34" s="97">
        <f t="shared" ref="P34:P35" si="30">SUM(C34:O34)</f>
        <v>366604.66000000003</v>
      </c>
      <c r="Q34" s="99">
        <v>373785.08035563037</v>
      </c>
      <c r="R34" s="98">
        <f t="shared" ref="R34:R36" si="31">Q34-P34</f>
        <v>7180.4203556303401</v>
      </c>
      <c r="S34" s="92"/>
      <c r="T34" s="22">
        <v>3245254</v>
      </c>
      <c r="U34" s="22">
        <v>1325514.67</v>
      </c>
      <c r="V34" s="22">
        <v>284975</v>
      </c>
      <c r="W34" s="22">
        <v>0</v>
      </c>
      <c r="X34" s="22">
        <f>SUM(T34:W34)</f>
        <v>4855743.67</v>
      </c>
      <c r="Y34" s="6">
        <v>0</v>
      </c>
      <c r="Z34" s="6">
        <f>Y34-X34</f>
        <v>-4855743.67</v>
      </c>
    </row>
    <row r="35" spans="1:27" ht="13.5" thickBot="1" x14ac:dyDescent="0.25">
      <c r="A35" s="79">
        <v>7</v>
      </c>
      <c r="B35" s="43" t="s">
        <v>22</v>
      </c>
      <c r="C35" s="100">
        <v>1464689.17</v>
      </c>
      <c r="D35" s="100">
        <v>477309.67000000004</v>
      </c>
      <c r="E35" s="100">
        <v>3999.12</v>
      </c>
      <c r="F35" s="100">
        <v>15701.46</v>
      </c>
      <c r="G35" s="100">
        <v>0</v>
      </c>
      <c r="H35" s="100">
        <v>0</v>
      </c>
      <c r="I35" s="100">
        <v>0</v>
      </c>
      <c r="J35" s="100">
        <v>6660.7</v>
      </c>
      <c r="K35" s="100">
        <v>0</v>
      </c>
      <c r="L35" s="100">
        <v>5673.91</v>
      </c>
      <c r="M35" s="100">
        <v>20648.97</v>
      </c>
      <c r="N35" s="100">
        <v>0</v>
      </c>
      <c r="O35" s="100">
        <v>53729.93</v>
      </c>
      <c r="P35" s="101">
        <f t="shared" si="30"/>
        <v>2048412.9299999997</v>
      </c>
      <c r="Q35" s="102">
        <v>2168229.2980135921</v>
      </c>
      <c r="R35" s="103">
        <f t="shared" si="31"/>
        <v>119816.36801359244</v>
      </c>
      <c r="S35" s="50"/>
      <c r="T35" s="24">
        <v>0</v>
      </c>
      <c r="U35" s="24">
        <v>0</v>
      </c>
      <c r="V35" s="24">
        <v>0</v>
      </c>
      <c r="W35" s="24">
        <v>0</v>
      </c>
      <c r="X35" s="24">
        <f>SUM(T35:W35)</f>
        <v>0</v>
      </c>
      <c r="Y35" s="62">
        <v>0</v>
      </c>
      <c r="Z35" s="62">
        <f t="shared" ref="Z35:Z36" si="32">Y35-X35</f>
        <v>0</v>
      </c>
    </row>
    <row r="36" spans="1:27" ht="13.5" thickTop="1" x14ac:dyDescent="0.2">
      <c r="A36" s="44"/>
      <c r="B36" s="45" t="s">
        <v>4</v>
      </c>
      <c r="C36" s="46">
        <f>SUM(C34:C35)</f>
        <v>1726040.3499999999</v>
      </c>
      <c r="D36" s="46">
        <f t="shared" ref="D36:O36" si="33">SUM(D34:D35)</f>
        <v>549022.38</v>
      </c>
      <c r="E36" s="46">
        <f t="shared" si="33"/>
        <v>3999.12</v>
      </c>
      <c r="F36" s="46">
        <f t="shared" si="33"/>
        <v>18616.91</v>
      </c>
      <c r="G36" s="46">
        <f t="shared" si="33"/>
        <v>915.88</v>
      </c>
      <c r="H36" s="46">
        <f t="shared" si="33"/>
        <v>13200</v>
      </c>
      <c r="I36" s="46">
        <f t="shared" si="33"/>
        <v>3524.45</v>
      </c>
      <c r="J36" s="46">
        <f t="shared" si="33"/>
        <v>8616.68</v>
      </c>
      <c r="K36" s="46">
        <f t="shared" si="33"/>
        <v>102.06</v>
      </c>
      <c r="L36" s="46">
        <f t="shared" si="33"/>
        <v>5788.2</v>
      </c>
      <c r="M36" s="46">
        <f t="shared" si="33"/>
        <v>25543.230000000003</v>
      </c>
      <c r="N36" s="46">
        <f t="shared" si="33"/>
        <v>120</v>
      </c>
      <c r="O36" s="46">
        <f t="shared" si="33"/>
        <v>59528.33</v>
      </c>
      <c r="P36" s="48">
        <f>SUM(C36:O36)</f>
        <v>2415017.5900000008</v>
      </c>
      <c r="Q36" s="47">
        <f>SUM(Q34:Q35)</f>
        <v>2542014.3783692224</v>
      </c>
      <c r="R36" s="49">
        <f t="shared" si="31"/>
        <v>126996.78836922161</v>
      </c>
      <c r="S36" s="50"/>
      <c r="T36" s="25">
        <f t="shared" ref="T36:W36" si="34">SUM(T34:T35)</f>
        <v>3245254</v>
      </c>
      <c r="U36" s="25">
        <f t="shared" si="34"/>
        <v>1325514.67</v>
      </c>
      <c r="V36" s="25">
        <f t="shared" si="34"/>
        <v>284975</v>
      </c>
      <c r="W36" s="25">
        <f t="shared" si="34"/>
        <v>0</v>
      </c>
      <c r="X36" s="25">
        <f>SUM(T36:W36)</f>
        <v>4855743.67</v>
      </c>
      <c r="Y36" s="6">
        <v>1340720.26</v>
      </c>
      <c r="Z36" s="6">
        <f t="shared" si="32"/>
        <v>-3515023.41</v>
      </c>
    </row>
    <row r="37" spans="1:27" x14ac:dyDescent="0.2">
      <c r="A37" s="80"/>
      <c r="B37" s="81"/>
      <c r="C37" s="104"/>
      <c r="D37" s="104"/>
      <c r="E37" s="104"/>
      <c r="F37" s="104"/>
      <c r="G37" s="104"/>
      <c r="H37" s="104"/>
      <c r="I37" s="104"/>
      <c r="J37" s="104"/>
      <c r="K37" s="104"/>
      <c r="L37" s="104"/>
      <c r="M37" s="104"/>
      <c r="N37" s="104"/>
      <c r="O37" s="104"/>
      <c r="P37" s="81"/>
      <c r="Q37" s="104"/>
      <c r="R37" s="105"/>
      <c r="S37" s="50"/>
      <c r="T37" s="26"/>
      <c r="U37" s="26"/>
      <c r="V37" s="26"/>
      <c r="W37" s="26"/>
      <c r="X37" s="26"/>
      <c r="Y37" s="9"/>
      <c r="Z37" s="10"/>
      <c r="AA37" s="10"/>
    </row>
    <row r="38" spans="1:27" x14ac:dyDescent="0.2">
      <c r="A38" s="79">
        <v>8</v>
      </c>
      <c r="B38" s="43" t="s">
        <v>23</v>
      </c>
      <c r="C38" s="96">
        <v>57836.49</v>
      </c>
      <c r="D38" s="96">
        <v>18086.38</v>
      </c>
      <c r="E38" s="96">
        <v>0</v>
      </c>
      <c r="F38" s="96">
        <v>4564.68</v>
      </c>
      <c r="G38" s="96">
        <v>907.54</v>
      </c>
      <c r="H38" s="96">
        <v>0</v>
      </c>
      <c r="I38" s="96">
        <v>0</v>
      </c>
      <c r="J38" s="96">
        <v>1301.55</v>
      </c>
      <c r="K38" s="96">
        <v>0</v>
      </c>
      <c r="L38" s="96">
        <v>10088.41</v>
      </c>
      <c r="M38" s="96">
        <v>1600.46</v>
      </c>
      <c r="N38" s="96">
        <v>0</v>
      </c>
      <c r="O38" s="96">
        <v>4893.6100000000006</v>
      </c>
      <c r="P38" s="97">
        <f t="shared" ref="P38:P41" si="35">SUM(C38:O38)</f>
        <v>99279.12</v>
      </c>
      <c r="Q38" s="99">
        <v>133405.18173175992</v>
      </c>
      <c r="R38" s="98">
        <f t="shared" ref="R38:R42" si="36">Q38-P38</f>
        <v>34126.061731759924</v>
      </c>
      <c r="S38" s="50"/>
      <c r="T38" s="22">
        <v>0</v>
      </c>
      <c r="U38" s="22">
        <v>0</v>
      </c>
      <c r="V38" s="22">
        <v>0</v>
      </c>
      <c r="W38" s="22">
        <v>0</v>
      </c>
      <c r="X38" s="22">
        <f>SUM(T38:W38)</f>
        <v>0</v>
      </c>
      <c r="Y38" s="6">
        <v>41200</v>
      </c>
      <c r="Z38" s="6">
        <f>Y38-X38</f>
        <v>41200</v>
      </c>
    </row>
    <row r="39" spans="1:27" ht="25.5" x14ac:dyDescent="0.2">
      <c r="A39" s="79">
        <v>8</v>
      </c>
      <c r="B39" s="43" t="s">
        <v>24</v>
      </c>
      <c r="C39" s="96">
        <v>216773.52</v>
      </c>
      <c r="D39" s="96">
        <v>48713.38</v>
      </c>
      <c r="E39" s="96">
        <v>0</v>
      </c>
      <c r="F39" s="96">
        <v>9129.36</v>
      </c>
      <c r="G39" s="96">
        <v>1815.09</v>
      </c>
      <c r="H39" s="96">
        <v>2210</v>
      </c>
      <c r="I39" s="96">
        <v>0</v>
      </c>
      <c r="J39" s="96">
        <v>3904.66</v>
      </c>
      <c r="K39" s="96">
        <v>1940.76</v>
      </c>
      <c r="L39" s="96">
        <v>28717.86</v>
      </c>
      <c r="M39" s="96">
        <v>4801.38</v>
      </c>
      <c r="N39" s="96">
        <v>1014.44</v>
      </c>
      <c r="O39" s="96">
        <v>18216.16</v>
      </c>
      <c r="P39" s="97">
        <f t="shared" si="35"/>
        <v>337236.60999999993</v>
      </c>
      <c r="Q39" s="99">
        <v>413221.41380242078</v>
      </c>
      <c r="R39" s="98">
        <f t="shared" si="36"/>
        <v>75984.803802420851</v>
      </c>
      <c r="S39" s="93"/>
      <c r="T39" s="22">
        <v>2380447.2400000002</v>
      </c>
      <c r="U39" s="22">
        <v>0</v>
      </c>
      <c r="V39" s="22">
        <v>312258</v>
      </c>
      <c r="W39" s="22">
        <v>0</v>
      </c>
      <c r="X39" s="22">
        <f>SUM(T39:W39)</f>
        <v>2692705.24</v>
      </c>
      <c r="Y39" s="6">
        <v>2629585.65</v>
      </c>
      <c r="Z39" s="6">
        <f t="shared" ref="Z39:Z42" si="37">Y39-X39</f>
        <v>-63119.590000000317</v>
      </c>
      <c r="AA39" s="4" t="s">
        <v>60</v>
      </c>
    </row>
    <row r="40" spans="1:27" x14ac:dyDescent="0.2">
      <c r="A40" s="79">
        <v>8</v>
      </c>
      <c r="B40" s="43" t="s">
        <v>25</v>
      </c>
      <c r="C40" s="96">
        <v>271666.81</v>
      </c>
      <c r="D40" s="96">
        <v>61733.299999999996</v>
      </c>
      <c r="E40" s="96">
        <v>0</v>
      </c>
      <c r="F40" s="96">
        <v>9990.5</v>
      </c>
      <c r="G40" s="96">
        <v>1815.09</v>
      </c>
      <c r="H40" s="96">
        <v>102</v>
      </c>
      <c r="I40" s="96">
        <v>0</v>
      </c>
      <c r="J40" s="96">
        <v>0</v>
      </c>
      <c r="K40" s="96">
        <v>1297.6199999999999</v>
      </c>
      <c r="L40" s="96">
        <v>12900</v>
      </c>
      <c r="M40" s="96">
        <v>9887.34</v>
      </c>
      <c r="N40" s="96">
        <v>231.43</v>
      </c>
      <c r="O40" s="96">
        <v>9465.56</v>
      </c>
      <c r="P40" s="97">
        <f t="shared" si="35"/>
        <v>379089.65</v>
      </c>
      <c r="Q40" s="99">
        <v>340363.17609812767</v>
      </c>
      <c r="R40" s="98">
        <f t="shared" si="36"/>
        <v>-38726.473901872349</v>
      </c>
      <c r="S40" s="92"/>
      <c r="T40" s="22">
        <v>0</v>
      </c>
      <c r="U40" s="22">
        <v>0</v>
      </c>
      <c r="V40" s="22">
        <v>0</v>
      </c>
      <c r="W40" s="22">
        <v>0</v>
      </c>
      <c r="X40" s="22">
        <f>SUM(T40:W40)</f>
        <v>0</v>
      </c>
      <c r="Y40" s="6">
        <v>262000</v>
      </c>
      <c r="Z40" s="6">
        <f t="shared" si="37"/>
        <v>262000</v>
      </c>
    </row>
    <row r="41" spans="1:27" ht="13.5" thickBot="1" x14ac:dyDescent="0.25">
      <c r="A41" s="79">
        <v>8</v>
      </c>
      <c r="B41" s="43" t="s">
        <v>26</v>
      </c>
      <c r="C41" s="100">
        <v>112678.92</v>
      </c>
      <c r="D41" s="100">
        <v>23592</v>
      </c>
      <c r="E41" s="100">
        <v>0</v>
      </c>
      <c r="F41" s="100">
        <v>200</v>
      </c>
      <c r="G41" s="100">
        <v>100</v>
      </c>
      <c r="H41" s="100">
        <v>0</v>
      </c>
      <c r="I41" s="100">
        <v>0</v>
      </c>
      <c r="J41" s="100">
        <v>2200</v>
      </c>
      <c r="K41" s="100">
        <v>0</v>
      </c>
      <c r="L41" s="100">
        <v>7595.83</v>
      </c>
      <c r="M41" s="100">
        <v>1250</v>
      </c>
      <c r="N41" s="100">
        <v>0</v>
      </c>
      <c r="O41" s="100">
        <v>2506.6</v>
      </c>
      <c r="P41" s="101">
        <f t="shared" si="35"/>
        <v>150123.34999999998</v>
      </c>
      <c r="Q41" s="102">
        <v>241573.17151492508</v>
      </c>
      <c r="R41" s="103">
        <f t="shared" si="36"/>
        <v>91449.821514925105</v>
      </c>
      <c r="S41" s="52"/>
      <c r="T41" s="24">
        <v>0</v>
      </c>
      <c r="U41" s="24">
        <v>0</v>
      </c>
      <c r="V41" s="24">
        <v>0</v>
      </c>
      <c r="W41" s="24">
        <v>0</v>
      </c>
      <c r="X41" s="24">
        <f>SUM(T41:W41)</f>
        <v>0</v>
      </c>
      <c r="Y41" s="62">
        <v>121867</v>
      </c>
      <c r="Z41" s="62">
        <f t="shared" si="37"/>
        <v>121867</v>
      </c>
    </row>
    <row r="42" spans="1:27" ht="13.5" thickTop="1" x14ac:dyDescent="0.2">
      <c r="A42" s="51"/>
      <c r="B42" s="45" t="s">
        <v>4</v>
      </c>
      <c r="C42" s="46">
        <f>SUM(C38:C41)</f>
        <v>658955.74000000011</v>
      </c>
      <c r="D42" s="46">
        <f t="shared" ref="D42:O42" si="38">SUM(D38:D41)</f>
        <v>152125.06</v>
      </c>
      <c r="E42" s="46">
        <f t="shared" si="38"/>
        <v>0</v>
      </c>
      <c r="F42" s="46">
        <f t="shared" si="38"/>
        <v>23884.54</v>
      </c>
      <c r="G42" s="46">
        <f t="shared" si="38"/>
        <v>4637.72</v>
      </c>
      <c r="H42" s="46">
        <f t="shared" si="38"/>
        <v>2312</v>
      </c>
      <c r="I42" s="46">
        <f t="shared" si="38"/>
        <v>0</v>
      </c>
      <c r="J42" s="46">
        <f t="shared" si="38"/>
        <v>7406.21</v>
      </c>
      <c r="K42" s="46">
        <f t="shared" si="38"/>
        <v>3238.38</v>
      </c>
      <c r="L42" s="46">
        <f t="shared" si="38"/>
        <v>59302.100000000006</v>
      </c>
      <c r="M42" s="46">
        <f t="shared" si="38"/>
        <v>17539.18</v>
      </c>
      <c r="N42" s="46">
        <f t="shared" si="38"/>
        <v>1245.8700000000001</v>
      </c>
      <c r="O42" s="46">
        <f t="shared" si="38"/>
        <v>35081.93</v>
      </c>
      <c r="P42" s="48">
        <f>SUM(C42:O42)</f>
        <v>965728.7300000001</v>
      </c>
      <c r="Q42" s="47">
        <f>SUM(Q38:Q41)</f>
        <v>1128562.9431472335</v>
      </c>
      <c r="R42" s="49">
        <f t="shared" si="36"/>
        <v>162834.21314723336</v>
      </c>
      <c r="S42" s="52"/>
      <c r="T42" s="25">
        <f t="shared" ref="T42:W42" si="39">SUM(T38:T41)</f>
        <v>2380447.2400000002</v>
      </c>
      <c r="U42" s="25">
        <f t="shared" si="39"/>
        <v>0</v>
      </c>
      <c r="V42" s="25">
        <f t="shared" si="39"/>
        <v>312258</v>
      </c>
      <c r="W42" s="25">
        <f t="shared" si="39"/>
        <v>0</v>
      </c>
      <c r="X42" s="25">
        <f>SUM(T42:W42)</f>
        <v>2692705.24</v>
      </c>
      <c r="Y42" s="6">
        <v>3054652.65</v>
      </c>
      <c r="Z42" s="6">
        <f t="shared" si="37"/>
        <v>361947.40999999968</v>
      </c>
    </row>
    <row r="43" spans="1:27" x14ac:dyDescent="0.2">
      <c r="A43" s="82"/>
      <c r="B43" s="83"/>
      <c r="C43" s="112"/>
      <c r="D43" s="112"/>
      <c r="E43" s="104"/>
      <c r="F43" s="104"/>
      <c r="G43" s="104"/>
      <c r="H43" s="104"/>
      <c r="I43" s="104"/>
      <c r="J43" s="104"/>
      <c r="K43" s="104"/>
      <c r="L43" s="104"/>
      <c r="M43" s="104"/>
      <c r="N43" s="104"/>
      <c r="O43" s="104"/>
      <c r="P43" s="111"/>
      <c r="Q43" s="104"/>
      <c r="R43" s="105"/>
      <c r="S43" s="93"/>
      <c r="T43" s="26"/>
      <c r="U43" s="26"/>
      <c r="V43" s="26"/>
      <c r="W43" s="26"/>
      <c r="X43" s="26"/>
      <c r="Y43" s="9"/>
      <c r="Z43" s="10"/>
      <c r="AA43" s="10"/>
    </row>
    <row r="44" spans="1:27" x14ac:dyDescent="0.2">
      <c r="A44" s="79">
        <v>9</v>
      </c>
      <c r="B44" s="43" t="s">
        <v>27</v>
      </c>
      <c r="C44" s="96">
        <v>669070.77</v>
      </c>
      <c r="D44" s="96">
        <v>253126.67</v>
      </c>
      <c r="E44" s="96">
        <v>2027.12</v>
      </c>
      <c r="F44" s="96">
        <v>5579.97</v>
      </c>
      <c r="G44" s="96">
        <v>786.58</v>
      </c>
      <c r="H44" s="96">
        <v>44250.98</v>
      </c>
      <c r="I44" s="96">
        <v>4289.63</v>
      </c>
      <c r="J44" s="96">
        <v>9521.64</v>
      </c>
      <c r="K44" s="96">
        <v>608.30999999999995</v>
      </c>
      <c r="L44" s="96">
        <v>92590.52</v>
      </c>
      <c r="M44" s="96">
        <v>6252.69</v>
      </c>
      <c r="N44" s="96">
        <v>0</v>
      </c>
      <c r="O44" s="96">
        <v>59859.310000000005</v>
      </c>
      <c r="P44" s="97">
        <f t="shared" ref="P44:P45" si="40">SUM(C44:O44)</f>
        <v>1147964.19</v>
      </c>
      <c r="Q44" s="99">
        <v>1252523.35968137</v>
      </c>
      <c r="R44" s="98">
        <f t="shared" ref="R44:R46" si="41">Q44-P44</f>
        <v>104559.16968137003</v>
      </c>
      <c r="S44" s="94"/>
      <c r="T44" s="22">
        <v>1223826.2</v>
      </c>
      <c r="U44" s="22">
        <v>466658.13</v>
      </c>
      <c r="V44" s="22">
        <v>73578.52</v>
      </c>
      <c r="W44" s="22">
        <v>0</v>
      </c>
      <c r="X44" s="22">
        <f>SUM(T44:W44)</f>
        <v>1764062.85</v>
      </c>
      <c r="Y44" s="6">
        <v>1840196.27</v>
      </c>
      <c r="Z44" s="6">
        <f>Y44-X44</f>
        <v>76133.419999999925</v>
      </c>
    </row>
    <row r="45" spans="1:27" ht="13.5" thickBot="1" x14ac:dyDescent="0.25">
      <c r="A45" s="79">
        <v>9</v>
      </c>
      <c r="B45" s="43" t="s">
        <v>28</v>
      </c>
      <c r="C45" s="100">
        <v>2925388.27</v>
      </c>
      <c r="D45" s="100">
        <v>1154671.32</v>
      </c>
      <c r="E45" s="100">
        <v>7788.34</v>
      </c>
      <c r="F45" s="100">
        <v>49793.279999999999</v>
      </c>
      <c r="G45" s="100">
        <v>15410.9</v>
      </c>
      <c r="H45" s="100">
        <v>0</v>
      </c>
      <c r="I45" s="100">
        <v>0</v>
      </c>
      <c r="J45" s="100">
        <v>39785</v>
      </c>
      <c r="K45" s="100">
        <v>14787.76</v>
      </c>
      <c r="L45" s="100">
        <v>386514.88</v>
      </c>
      <c r="M45" s="100">
        <v>28267.94</v>
      </c>
      <c r="N45" s="100">
        <v>30273.08</v>
      </c>
      <c r="O45" s="100">
        <v>118378.63</v>
      </c>
      <c r="P45" s="101">
        <f t="shared" si="40"/>
        <v>4771059.3999999994</v>
      </c>
      <c r="Q45" s="102">
        <v>5043541.4038485223</v>
      </c>
      <c r="R45" s="103">
        <f t="shared" si="41"/>
        <v>272482.0038485229</v>
      </c>
      <c r="S45" s="50"/>
      <c r="T45" s="24">
        <v>6021926.3099999996</v>
      </c>
      <c r="U45" s="24">
        <v>2359603.79</v>
      </c>
      <c r="V45" s="24">
        <v>739295.92</v>
      </c>
      <c r="W45" s="24">
        <v>227233.09</v>
      </c>
      <c r="X45" s="24">
        <f>SUM(T45:W45)</f>
        <v>9348059.1099999994</v>
      </c>
      <c r="Y45" s="62">
        <v>9740096.459999999</v>
      </c>
      <c r="Z45" s="62">
        <f t="shared" ref="Z45:Z46" si="42">Y45-X45</f>
        <v>392037.34999999963</v>
      </c>
    </row>
    <row r="46" spans="1:27" ht="13.5" thickTop="1" x14ac:dyDescent="0.2">
      <c r="A46" s="44"/>
      <c r="B46" s="45" t="s">
        <v>4</v>
      </c>
      <c r="C46" s="46">
        <f>SUM(C44:C45)</f>
        <v>3594459.04</v>
      </c>
      <c r="D46" s="46">
        <f>SUM(D44:D45)</f>
        <v>1407797.99</v>
      </c>
      <c r="E46" s="46">
        <f>SUM(E44:E45)</f>
        <v>9815.4599999999991</v>
      </c>
      <c r="F46" s="46">
        <f t="shared" ref="F46:O46" si="43">SUM(F44:F45)</f>
        <v>55373.25</v>
      </c>
      <c r="G46" s="46">
        <f t="shared" si="43"/>
        <v>16197.48</v>
      </c>
      <c r="H46" s="46">
        <f t="shared" si="43"/>
        <v>44250.98</v>
      </c>
      <c r="I46" s="46">
        <f t="shared" si="43"/>
        <v>4289.63</v>
      </c>
      <c r="J46" s="46">
        <f t="shared" si="43"/>
        <v>49306.64</v>
      </c>
      <c r="K46" s="46">
        <f t="shared" si="43"/>
        <v>15396.07</v>
      </c>
      <c r="L46" s="46">
        <f t="shared" si="43"/>
        <v>479105.4</v>
      </c>
      <c r="M46" s="46">
        <f t="shared" si="43"/>
        <v>34520.629999999997</v>
      </c>
      <c r="N46" s="46">
        <f t="shared" si="43"/>
        <v>30273.08</v>
      </c>
      <c r="O46" s="46">
        <f t="shared" si="43"/>
        <v>178237.94</v>
      </c>
      <c r="P46" s="48">
        <f>SUM(C46:O46)</f>
        <v>5919023.5900000017</v>
      </c>
      <c r="Q46" s="47">
        <f>SUM(Q44:Q45)</f>
        <v>6296064.7635298921</v>
      </c>
      <c r="R46" s="49">
        <f t="shared" si="41"/>
        <v>377041.17352989037</v>
      </c>
      <c r="S46" s="50"/>
      <c r="T46" s="25">
        <f t="shared" ref="T46:W46" si="44">SUM(T44:T45)</f>
        <v>7245752.5099999998</v>
      </c>
      <c r="U46" s="25">
        <f t="shared" si="44"/>
        <v>2826261.92</v>
      </c>
      <c r="V46" s="25">
        <f t="shared" si="44"/>
        <v>812874.44000000006</v>
      </c>
      <c r="W46" s="25">
        <f t="shared" si="44"/>
        <v>227233.09</v>
      </c>
      <c r="X46" s="25">
        <f>SUM(T46:W46)</f>
        <v>11112121.959999999</v>
      </c>
      <c r="Y46" s="6">
        <v>11580292.73</v>
      </c>
      <c r="Z46" s="6">
        <f t="shared" si="42"/>
        <v>468170.77000000142</v>
      </c>
    </row>
    <row r="47" spans="1:27" x14ac:dyDescent="0.2">
      <c r="A47" s="82"/>
      <c r="B47" s="83"/>
      <c r="C47" s="112"/>
      <c r="D47" s="112"/>
      <c r="E47" s="104"/>
      <c r="F47" s="104"/>
      <c r="G47" s="104"/>
      <c r="H47" s="104"/>
      <c r="I47" s="104"/>
      <c r="J47" s="104"/>
      <c r="K47" s="104"/>
      <c r="L47" s="104"/>
      <c r="M47" s="104"/>
      <c r="N47" s="104"/>
      <c r="O47" s="104"/>
      <c r="P47" s="111"/>
      <c r="Q47" s="104"/>
      <c r="R47" s="105"/>
      <c r="S47" s="93"/>
      <c r="T47" s="10"/>
      <c r="U47" s="10"/>
      <c r="V47" s="10"/>
      <c r="W47" s="10"/>
      <c r="X47" s="10"/>
      <c r="Y47" s="9"/>
      <c r="Z47" s="10"/>
      <c r="AA47" s="10"/>
    </row>
    <row r="48" spans="1:27" x14ac:dyDescent="0.2">
      <c r="A48" s="79">
        <v>10</v>
      </c>
      <c r="B48" s="43" t="s">
        <v>29</v>
      </c>
      <c r="C48" s="96">
        <v>558909.81000000006</v>
      </c>
      <c r="D48" s="96">
        <v>126799.32</v>
      </c>
      <c r="E48" s="96">
        <v>0</v>
      </c>
      <c r="F48" s="96">
        <v>0</v>
      </c>
      <c r="G48" s="96">
        <v>2510.79</v>
      </c>
      <c r="H48" s="96">
        <v>1020</v>
      </c>
      <c r="I48" s="96">
        <v>0</v>
      </c>
      <c r="J48" s="96">
        <v>517.21</v>
      </c>
      <c r="K48" s="96">
        <v>10607.27</v>
      </c>
      <c r="L48" s="96">
        <v>2455.5100000000002</v>
      </c>
      <c r="M48" s="96">
        <v>1849</v>
      </c>
      <c r="N48" s="96">
        <v>1849</v>
      </c>
      <c r="O48" s="96">
        <v>18375.809999999998</v>
      </c>
      <c r="P48" s="97">
        <f t="shared" ref="P48:P49" si="45">SUM(C48:O48)</f>
        <v>724893.7200000002</v>
      </c>
      <c r="Q48" s="99">
        <v>1158634.8529620848</v>
      </c>
      <c r="R48" s="98">
        <f t="shared" ref="R48:R50" si="46">Q48-P48</f>
        <v>433741.13296208461</v>
      </c>
      <c r="S48" s="50"/>
      <c r="T48" s="22">
        <v>2458210</v>
      </c>
      <c r="U48" s="22">
        <v>970730</v>
      </c>
      <c r="V48" s="22">
        <v>580045</v>
      </c>
      <c r="W48" s="22">
        <v>0</v>
      </c>
      <c r="X48" s="22">
        <f>SUM(T48:W48)</f>
        <v>4008985</v>
      </c>
      <c r="Y48" s="6">
        <v>3466615</v>
      </c>
      <c r="Z48" s="6">
        <f>Y48-X48</f>
        <v>-542370</v>
      </c>
    </row>
    <row r="49" spans="1:27" ht="13.5" thickBot="1" x14ac:dyDescent="0.25">
      <c r="A49" s="79">
        <v>10</v>
      </c>
      <c r="B49" s="43" t="s">
        <v>30</v>
      </c>
      <c r="C49" s="100">
        <v>338575.97</v>
      </c>
      <c r="D49" s="100">
        <v>117579.22</v>
      </c>
      <c r="E49" s="100">
        <v>0</v>
      </c>
      <c r="F49" s="100">
        <v>0</v>
      </c>
      <c r="G49" s="100">
        <v>0</v>
      </c>
      <c r="H49" s="100">
        <v>0</v>
      </c>
      <c r="I49" s="100">
        <v>0</v>
      </c>
      <c r="J49" s="100">
        <v>0</v>
      </c>
      <c r="K49" s="100">
        <v>5111.78</v>
      </c>
      <c r="L49" s="100">
        <v>519.4</v>
      </c>
      <c r="M49" s="100">
        <v>1200</v>
      </c>
      <c r="N49" s="100">
        <v>0</v>
      </c>
      <c r="O49" s="100">
        <v>11999.89</v>
      </c>
      <c r="P49" s="101">
        <f t="shared" si="45"/>
        <v>474986.26</v>
      </c>
      <c r="Q49" s="102">
        <v>511501.55982425169</v>
      </c>
      <c r="R49" s="103">
        <f t="shared" si="46"/>
        <v>36515.299824251677</v>
      </c>
      <c r="S49" s="50"/>
      <c r="T49" s="24">
        <v>565739</v>
      </c>
      <c r="U49" s="24">
        <v>232274</v>
      </c>
      <c r="V49" s="24">
        <v>129980</v>
      </c>
      <c r="W49" s="24">
        <v>0</v>
      </c>
      <c r="X49" s="24">
        <f>SUM(T49:W49)</f>
        <v>927993</v>
      </c>
      <c r="Y49" s="62">
        <v>869328</v>
      </c>
      <c r="Z49" s="62">
        <f t="shared" ref="Z49:Z50" si="47">Y49-X49</f>
        <v>-58665</v>
      </c>
    </row>
    <row r="50" spans="1:27" ht="13.5" thickTop="1" x14ac:dyDescent="0.2">
      <c r="A50" s="44"/>
      <c r="B50" s="45" t="s">
        <v>4</v>
      </c>
      <c r="C50" s="106">
        <f>SUM(C48:C49)</f>
        <v>897485.78</v>
      </c>
      <c r="D50" s="106">
        <f t="shared" ref="D50:O50" si="48">SUM(D48:D49)</f>
        <v>244378.54</v>
      </c>
      <c r="E50" s="106">
        <f t="shared" si="48"/>
        <v>0</v>
      </c>
      <c r="F50" s="106">
        <f t="shared" si="48"/>
        <v>0</v>
      </c>
      <c r="G50" s="106">
        <f t="shared" si="48"/>
        <v>2510.79</v>
      </c>
      <c r="H50" s="106">
        <f t="shared" si="48"/>
        <v>1020</v>
      </c>
      <c r="I50" s="106">
        <f t="shared" si="48"/>
        <v>0</v>
      </c>
      <c r="J50" s="106">
        <f t="shared" si="48"/>
        <v>517.21</v>
      </c>
      <c r="K50" s="106">
        <f t="shared" si="48"/>
        <v>15719.05</v>
      </c>
      <c r="L50" s="106">
        <f t="shared" si="48"/>
        <v>2974.9100000000003</v>
      </c>
      <c r="M50" s="106">
        <f t="shared" si="48"/>
        <v>3049</v>
      </c>
      <c r="N50" s="106">
        <f t="shared" si="48"/>
        <v>1849</v>
      </c>
      <c r="O50" s="106">
        <f t="shared" si="48"/>
        <v>30375.699999999997</v>
      </c>
      <c r="P50" s="48">
        <f>SUM(C50:O50)</f>
        <v>1199879.98</v>
      </c>
      <c r="Q50" s="47">
        <f>SUM(Q48:Q49)</f>
        <v>1670136.4127863366</v>
      </c>
      <c r="R50" s="49">
        <f t="shared" si="46"/>
        <v>470256.43278633663</v>
      </c>
      <c r="S50" s="50"/>
      <c r="T50" s="25">
        <f t="shared" ref="T50:W50" si="49">SUM(T48:T49)</f>
        <v>3023949</v>
      </c>
      <c r="U50" s="25">
        <f t="shared" si="49"/>
        <v>1203004</v>
      </c>
      <c r="V50" s="25">
        <f t="shared" si="49"/>
        <v>710025</v>
      </c>
      <c r="W50" s="25">
        <f t="shared" si="49"/>
        <v>0</v>
      </c>
      <c r="X50" s="25">
        <f>SUM(T50:W50)</f>
        <v>4936978</v>
      </c>
      <c r="Y50" s="6">
        <v>4335943</v>
      </c>
      <c r="Z50" s="6">
        <f t="shared" si="47"/>
        <v>-601035</v>
      </c>
    </row>
    <row r="51" spans="1:27" x14ac:dyDescent="0.2">
      <c r="A51" s="82"/>
      <c r="B51" s="83"/>
      <c r="C51" s="110"/>
      <c r="D51" s="110"/>
      <c r="E51" s="104"/>
      <c r="F51" s="104"/>
      <c r="G51" s="104"/>
      <c r="H51" s="104"/>
      <c r="I51" s="104"/>
      <c r="J51" s="104"/>
      <c r="K51" s="104"/>
      <c r="L51" s="104"/>
      <c r="M51" s="104"/>
      <c r="N51" s="104"/>
      <c r="O51" s="104"/>
      <c r="P51" s="111"/>
      <c r="Q51" s="104"/>
      <c r="R51" s="105"/>
      <c r="S51" s="50"/>
      <c r="T51" s="10"/>
      <c r="U51" s="10"/>
      <c r="V51" s="10"/>
      <c r="W51" s="10"/>
      <c r="X51" s="10"/>
      <c r="Y51" s="9"/>
      <c r="Z51" s="10"/>
      <c r="AA51" s="10"/>
    </row>
    <row r="52" spans="1:27" ht="51" x14ac:dyDescent="0.2">
      <c r="A52" s="79">
        <v>11</v>
      </c>
      <c r="B52" s="43" t="s">
        <v>31</v>
      </c>
      <c r="C52" s="96">
        <v>56000</v>
      </c>
      <c r="D52" s="96">
        <v>19065.2</v>
      </c>
      <c r="E52" s="96">
        <v>3597.5</v>
      </c>
      <c r="F52" s="96">
        <v>0</v>
      </c>
      <c r="G52" s="96">
        <v>100</v>
      </c>
      <c r="H52" s="96">
        <v>0</v>
      </c>
      <c r="I52" s="96">
        <v>0</v>
      </c>
      <c r="J52" s="96">
        <v>0</v>
      </c>
      <c r="K52" s="96">
        <v>0</v>
      </c>
      <c r="L52" s="96">
        <v>0</v>
      </c>
      <c r="M52" s="96">
        <v>1000</v>
      </c>
      <c r="N52" s="96">
        <v>0</v>
      </c>
      <c r="O52" s="96">
        <v>1000</v>
      </c>
      <c r="P52" s="97">
        <f t="shared" ref="P52:P55" si="50">SUM(C52:O52)</f>
        <v>80762.7</v>
      </c>
      <c r="Q52" s="99">
        <v>136068.99630292883</v>
      </c>
      <c r="R52" s="98">
        <f t="shared" ref="R52:R56" si="51">Q52-P52</f>
        <v>55306.296302928837</v>
      </c>
      <c r="S52" s="93"/>
      <c r="T52" s="22">
        <v>1054929.23</v>
      </c>
      <c r="U52" s="22">
        <v>301351.25</v>
      </c>
      <c r="V52" s="22">
        <v>149412.24</v>
      </c>
      <c r="W52" s="22">
        <v>0</v>
      </c>
      <c r="X52" s="22">
        <f>SUM(T52:W52)</f>
        <v>1505692.72</v>
      </c>
      <c r="Y52" s="6">
        <v>443429.32</v>
      </c>
      <c r="Z52" s="6">
        <f>Y52-X52</f>
        <v>-1062263.3999999999</v>
      </c>
      <c r="AA52" s="4" t="s">
        <v>61</v>
      </c>
    </row>
    <row r="53" spans="1:27" x14ac:dyDescent="0.2">
      <c r="A53" s="79">
        <v>11</v>
      </c>
      <c r="B53" s="43" t="s">
        <v>32</v>
      </c>
      <c r="C53" s="96">
        <v>995511</v>
      </c>
      <c r="D53" s="96">
        <v>356029.75999999995</v>
      </c>
      <c r="E53" s="96">
        <v>14079.92</v>
      </c>
      <c r="F53" s="96">
        <v>485.17</v>
      </c>
      <c r="G53" s="96">
        <v>1118.83</v>
      </c>
      <c r="H53" s="96">
        <v>24850</v>
      </c>
      <c r="I53" s="96">
        <v>5203.33</v>
      </c>
      <c r="J53" s="96">
        <v>7552.91</v>
      </c>
      <c r="K53" s="96">
        <v>0</v>
      </c>
      <c r="L53" s="96">
        <v>0</v>
      </c>
      <c r="M53" s="96">
        <v>15403.74</v>
      </c>
      <c r="N53" s="96">
        <v>38985.26</v>
      </c>
      <c r="O53" s="96">
        <v>28366.560000000001</v>
      </c>
      <c r="P53" s="97">
        <f t="shared" si="50"/>
        <v>1487586.48</v>
      </c>
      <c r="Q53" s="99">
        <v>1623921.0683313615</v>
      </c>
      <c r="R53" s="98">
        <f t="shared" si="51"/>
        <v>136334.58833136153</v>
      </c>
      <c r="S53" s="50"/>
      <c r="T53" s="22">
        <v>2226053.21</v>
      </c>
      <c r="U53" s="22">
        <v>772505.11</v>
      </c>
      <c r="V53" s="22">
        <v>694719.08</v>
      </c>
      <c r="W53" s="22">
        <v>0</v>
      </c>
      <c r="X53" s="22">
        <f>SUM(T53:W53)</f>
        <v>3693277.4</v>
      </c>
      <c r="Y53" s="6">
        <v>3164602.9000000004</v>
      </c>
      <c r="Z53" s="6">
        <f t="shared" ref="Z53:Z56" si="52">Y53-X53</f>
        <v>-528674.49999999953</v>
      </c>
    </row>
    <row r="54" spans="1:27" x14ac:dyDescent="0.2">
      <c r="A54" s="79">
        <v>11</v>
      </c>
      <c r="B54" s="43" t="s">
        <v>33</v>
      </c>
      <c r="C54" s="96">
        <v>0</v>
      </c>
      <c r="D54" s="96">
        <v>0</v>
      </c>
      <c r="E54" s="96">
        <v>5396.26</v>
      </c>
      <c r="F54" s="96">
        <v>0</v>
      </c>
      <c r="G54" s="96">
        <v>100</v>
      </c>
      <c r="H54" s="96">
        <v>0</v>
      </c>
      <c r="I54" s="96">
        <v>0</v>
      </c>
      <c r="J54" s="96">
        <v>1111.68</v>
      </c>
      <c r="K54" s="96">
        <v>0</v>
      </c>
      <c r="L54" s="96">
        <v>0</v>
      </c>
      <c r="M54" s="96">
        <v>0</v>
      </c>
      <c r="N54" s="96">
        <v>0</v>
      </c>
      <c r="O54" s="96">
        <v>0</v>
      </c>
      <c r="P54" s="97">
        <f t="shared" si="50"/>
        <v>6607.9400000000005</v>
      </c>
      <c r="Q54" s="99">
        <v>63118.548792583679</v>
      </c>
      <c r="R54" s="98">
        <f t="shared" si="51"/>
        <v>56510.608792583676</v>
      </c>
      <c r="S54" s="52"/>
      <c r="T54" s="22">
        <v>0</v>
      </c>
      <c r="U54" s="22">
        <v>0</v>
      </c>
      <c r="V54" s="22">
        <v>0</v>
      </c>
      <c r="W54" s="22">
        <v>0</v>
      </c>
      <c r="X54" s="22">
        <f>SUM(T54:W54)</f>
        <v>0</v>
      </c>
      <c r="Y54" s="6">
        <v>2089060.52</v>
      </c>
      <c r="Z54" s="6">
        <f t="shared" si="52"/>
        <v>2089060.52</v>
      </c>
    </row>
    <row r="55" spans="1:27" ht="13.5" thickBot="1" x14ac:dyDescent="0.25">
      <c r="A55" s="79">
        <v>11</v>
      </c>
      <c r="B55" s="43" t="s">
        <v>34</v>
      </c>
      <c r="C55" s="100">
        <v>74061.06</v>
      </c>
      <c r="D55" s="100">
        <v>22617.809999999998</v>
      </c>
      <c r="E55" s="100">
        <v>8993.76</v>
      </c>
      <c r="F55" s="100">
        <v>0</v>
      </c>
      <c r="G55" s="100">
        <v>100</v>
      </c>
      <c r="H55" s="100">
        <v>0</v>
      </c>
      <c r="I55" s="100">
        <v>0</v>
      </c>
      <c r="J55" s="100">
        <v>0</v>
      </c>
      <c r="K55" s="100">
        <v>0</v>
      </c>
      <c r="L55" s="100">
        <v>0</v>
      </c>
      <c r="M55" s="100">
        <v>1000</v>
      </c>
      <c r="N55" s="100">
        <v>0</v>
      </c>
      <c r="O55" s="100">
        <v>1000</v>
      </c>
      <c r="P55" s="101">
        <f t="shared" si="50"/>
        <v>107772.62999999999</v>
      </c>
      <c r="Q55" s="102">
        <v>101804.56926146786</v>
      </c>
      <c r="R55" s="103">
        <f t="shared" si="51"/>
        <v>-5968.0607385321346</v>
      </c>
      <c r="S55" s="50"/>
      <c r="T55" s="24">
        <v>0</v>
      </c>
      <c r="U55" s="24">
        <v>0</v>
      </c>
      <c r="V55" s="24">
        <v>44874.37</v>
      </c>
      <c r="W55" s="24">
        <v>0</v>
      </c>
      <c r="X55" s="24">
        <f>SUM(T55:W55)</f>
        <v>44874.37</v>
      </c>
      <c r="Y55" s="62">
        <v>3700</v>
      </c>
      <c r="Z55" s="62">
        <f t="shared" si="52"/>
        <v>-41174.370000000003</v>
      </c>
    </row>
    <row r="56" spans="1:27" ht="13.5" thickTop="1" x14ac:dyDescent="0.2">
      <c r="A56" s="79"/>
      <c r="B56" s="45" t="s">
        <v>4</v>
      </c>
      <c r="C56" s="106">
        <f t="shared" ref="C56:Q56" si="53">SUM(C52:C55)</f>
        <v>1125572.06</v>
      </c>
      <c r="D56" s="106">
        <f t="shared" si="53"/>
        <v>397712.76999999996</v>
      </c>
      <c r="E56" s="106">
        <f t="shared" si="53"/>
        <v>32067.440000000002</v>
      </c>
      <c r="F56" s="106">
        <f t="shared" si="53"/>
        <v>485.17</v>
      </c>
      <c r="G56" s="106">
        <f t="shared" si="53"/>
        <v>1418.83</v>
      </c>
      <c r="H56" s="106">
        <f t="shared" si="53"/>
        <v>24850</v>
      </c>
      <c r="I56" s="106">
        <f t="shared" si="53"/>
        <v>5203.33</v>
      </c>
      <c r="J56" s="106">
        <f t="shared" si="53"/>
        <v>8664.59</v>
      </c>
      <c r="K56" s="106">
        <f t="shared" si="53"/>
        <v>0</v>
      </c>
      <c r="L56" s="106">
        <f t="shared" si="53"/>
        <v>0</v>
      </c>
      <c r="M56" s="106">
        <f t="shared" si="53"/>
        <v>17403.739999999998</v>
      </c>
      <c r="N56" s="106">
        <f t="shared" si="53"/>
        <v>38985.26</v>
      </c>
      <c r="O56" s="106">
        <f t="shared" si="53"/>
        <v>30366.560000000001</v>
      </c>
      <c r="P56" s="48">
        <f t="shared" si="53"/>
        <v>1682729.7499999998</v>
      </c>
      <c r="Q56" s="47">
        <f t="shared" si="53"/>
        <v>1924913.1826883417</v>
      </c>
      <c r="R56" s="49">
        <f t="shared" si="51"/>
        <v>242183.43268834194</v>
      </c>
      <c r="S56" s="93"/>
      <c r="T56" s="25">
        <f t="shared" ref="T56:W56" si="54">SUM(T52:T55)</f>
        <v>3280982.44</v>
      </c>
      <c r="U56" s="25">
        <f t="shared" si="54"/>
        <v>1073856.3599999999</v>
      </c>
      <c r="V56" s="25">
        <f t="shared" si="54"/>
        <v>889005.69</v>
      </c>
      <c r="W56" s="25">
        <f t="shared" si="54"/>
        <v>0</v>
      </c>
      <c r="X56" s="25">
        <f>SUM(T56:W56)</f>
        <v>5243844.49</v>
      </c>
      <c r="Y56" s="6">
        <v>5700792.7400000002</v>
      </c>
      <c r="Z56" s="6">
        <f t="shared" si="52"/>
        <v>456948.25</v>
      </c>
    </row>
    <row r="57" spans="1:27" x14ac:dyDescent="0.2">
      <c r="A57" s="113"/>
      <c r="B57" s="81"/>
      <c r="C57" s="104"/>
      <c r="D57" s="104"/>
      <c r="E57" s="104"/>
      <c r="F57" s="104"/>
      <c r="G57" s="104"/>
      <c r="H57" s="104"/>
      <c r="I57" s="104"/>
      <c r="J57" s="104"/>
      <c r="K57" s="104"/>
      <c r="L57" s="104"/>
      <c r="M57" s="104"/>
      <c r="N57" s="104"/>
      <c r="O57" s="104"/>
      <c r="P57" s="104"/>
      <c r="Q57" s="104"/>
      <c r="R57" s="104"/>
      <c r="S57" s="50"/>
      <c r="T57" s="10"/>
      <c r="U57" s="10"/>
      <c r="V57" s="10"/>
      <c r="W57" s="10"/>
      <c r="X57" s="10"/>
      <c r="Y57" s="9"/>
      <c r="Z57" s="10"/>
      <c r="AA57" s="10"/>
    </row>
    <row r="58" spans="1:27" ht="38.25" x14ac:dyDescent="0.2">
      <c r="A58" s="79">
        <v>12</v>
      </c>
      <c r="B58" s="43" t="s">
        <v>35</v>
      </c>
      <c r="C58" s="96">
        <v>532408.42999999993</v>
      </c>
      <c r="D58" s="96">
        <v>182151.75</v>
      </c>
      <c r="E58" s="96">
        <v>2277.4299999999998</v>
      </c>
      <c r="F58" s="96">
        <v>14354.29</v>
      </c>
      <c r="G58" s="96">
        <v>372.93</v>
      </c>
      <c r="H58" s="96">
        <v>0</v>
      </c>
      <c r="I58" s="96">
        <v>1347.46</v>
      </c>
      <c r="J58" s="96">
        <v>0</v>
      </c>
      <c r="K58" s="96">
        <v>9333.9699999999993</v>
      </c>
      <c r="L58" s="96">
        <v>0</v>
      </c>
      <c r="M58" s="96">
        <v>2150</v>
      </c>
      <c r="N58" s="96">
        <v>0</v>
      </c>
      <c r="O58" s="96">
        <v>36550.119999999995</v>
      </c>
      <c r="P58" s="97">
        <f t="shared" ref="P58:P59" si="55">SUM(C58:O58)</f>
        <v>780946.38</v>
      </c>
      <c r="Q58" s="99">
        <v>1034396.2497286052</v>
      </c>
      <c r="R58" s="98">
        <f t="shared" ref="R58:R64" si="56">Q58-P58</f>
        <v>253449.86972860515</v>
      </c>
      <c r="S58" s="50"/>
      <c r="T58" s="22">
        <v>1821189</v>
      </c>
      <c r="U58" s="22">
        <v>627630</v>
      </c>
      <c r="V58" s="22">
        <v>494885</v>
      </c>
      <c r="W58" s="22">
        <v>0</v>
      </c>
      <c r="X58" s="22">
        <f>SUM(T58:W58)</f>
        <v>2943704</v>
      </c>
      <c r="Y58" s="6">
        <v>2883464</v>
      </c>
      <c r="Z58" s="6">
        <f>Y58-X58</f>
        <v>-60240</v>
      </c>
      <c r="AA58" s="4" t="s">
        <v>62</v>
      </c>
    </row>
    <row r="59" spans="1:27" ht="13.5" thickBot="1" x14ac:dyDescent="0.25">
      <c r="A59" s="79">
        <v>12</v>
      </c>
      <c r="B59" s="43" t="s">
        <v>36</v>
      </c>
      <c r="C59" s="100">
        <v>99921.27</v>
      </c>
      <c r="D59" s="100">
        <v>32444.880000000001</v>
      </c>
      <c r="E59" s="100">
        <v>0</v>
      </c>
      <c r="F59" s="100">
        <v>0</v>
      </c>
      <c r="G59" s="100">
        <v>164</v>
      </c>
      <c r="H59" s="100">
        <v>7200</v>
      </c>
      <c r="I59" s="100">
        <v>1638</v>
      </c>
      <c r="J59" s="100">
        <v>0</v>
      </c>
      <c r="K59" s="100">
        <v>2600</v>
      </c>
      <c r="L59" s="100">
        <v>430</v>
      </c>
      <c r="M59" s="100">
        <v>535.20000000000005</v>
      </c>
      <c r="N59" s="100">
        <v>0</v>
      </c>
      <c r="O59" s="100">
        <v>6374</v>
      </c>
      <c r="P59" s="101">
        <f t="shared" si="55"/>
        <v>151307.35</v>
      </c>
      <c r="Q59" s="102">
        <v>201265.64371937863</v>
      </c>
      <c r="R59" s="103">
        <f t="shared" si="56"/>
        <v>49958.29371937862</v>
      </c>
      <c r="S59" s="50"/>
      <c r="T59" s="24">
        <v>0</v>
      </c>
      <c r="U59" s="24">
        <v>0</v>
      </c>
      <c r="V59" s="24">
        <v>0</v>
      </c>
      <c r="W59" s="24">
        <v>0</v>
      </c>
      <c r="X59" s="24">
        <f>SUM(T59:W59)</f>
        <v>0</v>
      </c>
      <c r="Y59" s="62">
        <v>39288</v>
      </c>
      <c r="Z59" s="62">
        <f t="shared" ref="Z59:Z60" si="57">Y59-X59</f>
        <v>39288</v>
      </c>
    </row>
    <row r="60" spans="1:27" ht="13.5" thickTop="1" x14ac:dyDescent="0.2">
      <c r="A60" s="44"/>
      <c r="B60" s="45" t="s">
        <v>4</v>
      </c>
      <c r="C60" s="106">
        <f>SUM(C58:C59)</f>
        <v>632329.69999999995</v>
      </c>
      <c r="D60" s="106">
        <f t="shared" ref="D60:O60" si="58">SUM(D58:D59)</f>
        <v>214596.63</v>
      </c>
      <c r="E60" s="106">
        <f t="shared" si="58"/>
        <v>2277.4299999999998</v>
      </c>
      <c r="F60" s="106">
        <f t="shared" si="58"/>
        <v>14354.29</v>
      </c>
      <c r="G60" s="106">
        <f t="shared" si="58"/>
        <v>536.93000000000006</v>
      </c>
      <c r="H60" s="106">
        <f t="shared" si="58"/>
        <v>7200</v>
      </c>
      <c r="I60" s="106">
        <f t="shared" si="58"/>
        <v>2985.46</v>
      </c>
      <c r="J60" s="106">
        <f t="shared" si="58"/>
        <v>0</v>
      </c>
      <c r="K60" s="106">
        <f t="shared" si="58"/>
        <v>11933.97</v>
      </c>
      <c r="L60" s="106">
        <f t="shared" si="58"/>
        <v>430</v>
      </c>
      <c r="M60" s="106">
        <f t="shared" si="58"/>
        <v>2685.2</v>
      </c>
      <c r="N60" s="106">
        <f t="shared" si="58"/>
        <v>0</v>
      </c>
      <c r="O60" s="106">
        <f t="shared" si="58"/>
        <v>42924.119999999995</v>
      </c>
      <c r="P60" s="48">
        <f>SUM(C60:O60)</f>
        <v>932253.73</v>
      </c>
      <c r="Q60" s="47">
        <f>SUM(Q58:Q59)</f>
        <v>1235661.8934479838</v>
      </c>
      <c r="R60" s="49">
        <f t="shared" si="56"/>
        <v>303408.1634479838</v>
      </c>
      <c r="S60" s="93"/>
      <c r="T60" s="25">
        <f t="shared" ref="T60:W60" si="59">SUM(T58:T59)</f>
        <v>1821189</v>
      </c>
      <c r="U60" s="25">
        <f t="shared" si="59"/>
        <v>627630</v>
      </c>
      <c r="V60" s="25">
        <f t="shared" si="59"/>
        <v>494885</v>
      </c>
      <c r="W60" s="25">
        <f t="shared" si="59"/>
        <v>0</v>
      </c>
      <c r="X60" s="25">
        <f>SUM(T60:W60)</f>
        <v>2943704</v>
      </c>
      <c r="Y60" s="6">
        <v>2922752</v>
      </c>
      <c r="Z60" s="6">
        <f t="shared" si="57"/>
        <v>-20952</v>
      </c>
    </row>
    <row r="61" spans="1:27" x14ac:dyDescent="0.2">
      <c r="A61" s="82"/>
      <c r="B61" s="83"/>
      <c r="C61" s="112"/>
      <c r="D61" s="112"/>
      <c r="E61" s="104"/>
      <c r="F61" s="104"/>
      <c r="G61" s="104"/>
      <c r="H61" s="104"/>
      <c r="I61" s="104"/>
      <c r="J61" s="104"/>
      <c r="K61" s="104"/>
      <c r="L61" s="104"/>
      <c r="M61" s="104"/>
      <c r="N61" s="104"/>
      <c r="O61" s="104"/>
      <c r="P61" s="111"/>
      <c r="Q61" s="104"/>
      <c r="R61" s="105"/>
      <c r="S61" s="50"/>
      <c r="T61" s="10"/>
      <c r="U61" s="10"/>
      <c r="V61" s="10"/>
      <c r="W61" s="10"/>
      <c r="X61" s="10"/>
      <c r="Y61" s="9"/>
      <c r="Z61" s="10"/>
      <c r="AA61" s="10"/>
    </row>
    <row r="62" spans="1:27" ht="51" x14ac:dyDescent="0.2">
      <c r="A62" s="79">
        <v>13</v>
      </c>
      <c r="B62" s="43" t="s">
        <v>37</v>
      </c>
      <c r="C62" s="96">
        <v>1654873</v>
      </c>
      <c r="D62" s="96">
        <v>521563</v>
      </c>
      <c r="E62" s="96">
        <v>2555</v>
      </c>
      <c r="F62" s="96">
        <v>17946</v>
      </c>
      <c r="G62" s="96">
        <v>1499</v>
      </c>
      <c r="H62" s="96">
        <v>0</v>
      </c>
      <c r="I62" s="96">
        <v>0</v>
      </c>
      <c r="J62" s="96">
        <v>4703</v>
      </c>
      <c r="K62" s="96">
        <v>7285</v>
      </c>
      <c r="L62" s="96">
        <v>61254</v>
      </c>
      <c r="M62" s="96">
        <v>34497</v>
      </c>
      <c r="N62" s="96">
        <v>0</v>
      </c>
      <c r="O62" s="96">
        <v>70946</v>
      </c>
      <c r="P62" s="97">
        <f t="shared" ref="P62:P63" si="60">SUM(C62:O62)</f>
        <v>2377121</v>
      </c>
      <c r="Q62" s="99">
        <v>2813850.9693084694</v>
      </c>
      <c r="R62" s="98">
        <f t="shared" si="56"/>
        <v>436729.96930846944</v>
      </c>
      <c r="S62" s="50"/>
      <c r="T62" s="22">
        <v>6567367</v>
      </c>
      <c r="U62" s="22">
        <v>265827.01</v>
      </c>
      <c r="V62" s="22">
        <v>0</v>
      </c>
      <c r="W62" s="22">
        <v>0</v>
      </c>
      <c r="X62" s="22">
        <f>SUM(T62:W62)</f>
        <v>6833194.0099999998</v>
      </c>
      <c r="Y62" s="6">
        <v>6883194</v>
      </c>
      <c r="Z62" s="6">
        <f>Y62-X62</f>
        <v>49999.990000000224</v>
      </c>
      <c r="AA62" s="4" t="s">
        <v>63</v>
      </c>
    </row>
    <row r="63" spans="1:27" ht="13.5" thickBot="1" x14ac:dyDescent="0.25">
      <c r="A63" s="79">
        <v>13</v>
      </c>
      <c r="B63" s="43" t="s">
        <v>38</v>
      </c>
      <c r="C63" s="100">
        <v>0</v>
      </c>
      <c r="D63" s="100">
        <v>0</v>
      </c>
      <c r="E63" s="100">
        <v>0</v>
      </c>
      <c r="F63" s="100">
        <v>0</v>
      </c>
      <c r="G63" s="100">
        <v>0</v>
      </c>
      <c r="H63" s="100">
        <v>0</v>
      </c>
      <c r="I63" s="100">
        <v>0</v>
      </c>
      <c r="J63" s="100">
        <v>0</v>
      </c>
      <c r="K63" s="100">
        <v>0</v>
      </c>
      <c r="L63" s="100">
        <v>0</v>
      </c>
      <c r="M63" s="100">
        <v>0</v>
      </c>
      <c r="N63" s="100">
        <v>0</v>
      </c>
      <c r="O63" s="100">
        <v>0</v>
      </c>
      <c r="P63" s="101">
        <f t="shared" si="60"/>
        <v>0</v>
      </c>
      <c r="Q63" s="102">
        <v>490720.40078637697</v>
      </c>
      <c r="R63" s="103">
        <f t="shared" si="56"/>
        <v>490720.40078637697</v>
      </c>
      <c r="S63" s="50"/>
      <c r="T63" s="24">
        <v>927608</v>
      </c>
      <c r="U63" s="24">
        <v>26003</v>
      </c>
      <c r="V63" s="24">
        <v>0</v>
      </c>
      <c r="W63" s="24">
        <v>0</v>
      </c>
      <c r="X63" s="24">
        <f>SUM(T63:W63)</f>
        <v>953611</v>
      </c>
      <c r="Y63" s="62">
        <v>953611</v>
      </c>
      <c r="Z63" s="62">
        <f t="shared" ref="Z63:Z64" si="61">Y63-X63</f>
        <v>0</v>
      </c>
    </row>
    <row r="64" spans="1:27" ht="13.5" thickTop="1" x14ac:dyDescent="0.2">
      <c r="A64" s="44"/>
      <c r="B64" s="45" t="s">
        <v>4</v>
      </c>
      <c r="C64" s="106">
        <f>SUM(C62:C63)</f>
        <v>1654873</v>
      </c>
      <c r="D64" s="106">
        <f t="shared" ref="D64:O64" si="62">SUM(D62:D63)</f>
        <v>521563</v>
      </c>
      <c r="E64" s="106">
        <f t="shared" si="62"/>
        <v>2555</v>
      </c>
      <c r="F64" s="106">
        <f t="shared" si="62"/>
        <v>17946</v>
      </c>
      <c r="G64" s="106">
        <f t="shared" si="62"/>
        <v>1499</v>
      </c>
      <c r="H64" s="106">
        <f t="shared" si="62"/>
        <v>0</v>
      </c>
      <c r="I64" s="106">
        <f t="shared" si="62"/>
        <v>0</v>
      </c>
      <c r="J64" s="106">
        <f t="shared" si="62"/>
        <v>4703</v>
      </c>
      <c r="K64" s="106">
        <f t="shared" si="62"/>
        <v>7285</v>
      </c>
      <c r="L64" s="106">
        <f t="shared" si="62"/>
        <v>61254</v>
      </c>
      <c r="M64" s="106">
        <f t="shared" si="62"/>
        <v>34497</v>
      </c>
      <c r="N64" s="106">
        <f t="shared" si="62"/>
        <v>0</v>
      </c>
      <c r="O64" s="106">
        <f t="shared" si="62"/>
        <v>70946</v>
      </c>
      <c r="P64" s="48">
        <f>SUM(C64:O64)</f>
        <v>2377121</v>
      </c>
      <c r="Q64" s="47">
        <f>SUM(Q62:Q63)</f>
        <v>3304571.3700948465</v>
      </c>
      <c r="R64" s="49">
        <f t="shared" si="56"/>
        <v>927450.37009484647</v>
      </c>
      <c r="S64" s="50"/>
      <c r="T64" s="25">
        <f t="shared" ref="T64:W64" si="63">SUM(T62:T63)</f>
        <v>7494975</v>
      </c>
      <c r="U64" s="25">
        <f t="shared" si="63"/>
        <v>291830.01</v>
      </c>
      <c r="V64" s="25">
        <f t="shared" si="63"/>
        <v>0</v>
      </c>
      <c r="W64" s="25">
        <f t="shared" si="63"/>
        <v>0</v>
      </c>
      <c r="X64" s="25">
        <f>SUM(T64:W64)</f>
        <v>7786805.0099999998</v>
      </c>
      <c r="Y64" s="6">
        <v>7836805</v>
      </c>
      <c r="Z64" s="6">
        <f t="shared" si="61"/>
        <v>49999.990000000224</v>
      </c>
    </row>
    <row r="65" spans="1:27" x14ac:dyDescent="0.2">
      <c r="A65" s="82"/>
      <c r="B65" s="83"/>
      <c r="C65" s="110"/>
      <c r="D65" s="110"/>
      <c r="E65" s="104"/>
      <c r="F65" s="104"/>
      <c r="G65" s="104"/>
      <c r="H65" s="104"/>
      <c r="I65" s="104"/>
      <c r="J65" s="104"/>
      <c r="K65" s="104"/>
      <c r="L65" s="104"/>
      <c r="M65" s="104"/>
      <c r="N65" s="104"/>
      <c r="O65" s="104"/>
      <c r="P65" s="111"/>
      <c r="Q65" s="104"/>
      <c r="R65" s="105"/>
      <c r="S65" s="50"/>
      <c r="T65" s="10"/>
      <c r="U65" s="10"/>
      <c r="V65" s="10"/>
      <c r="W65" s="10"/>
      <c r="X65" s="10"/>
      <c r="Y65" s="9"/>
      <c r="Z65" s="10"/>
      <c r="AA65" s="10"/>
    </row>
    <row r="66" spans="1:27" ht="51" x14ac:dyDescent="0.2">
      <c r="A66" s="79">
        <v>14</v>
      </c>
      <c r="B66" s="43" t="s">
        <v>39</v>
      </c>
      <c r="C66" s="96">
        <v>0</v>
      </c>
      <c r="D66" s="96">
        <v>0</v>
      </c>
      <c r="E66" s="96">
        <v>0</v>
      </c>
      <c r="F66" s="96">
        <v>0</v>
      </c>
      <c r="G66" s="96">
        <v>0</v>
      </c>
      <c r="H66" s="96">
        <v>0</v>
      </c>
      <c r="I66" s="96">
        <v>0</v>
      </c>
      <c r="J66" s="96">
        <v>0</v>
      </c>
      <c r="K66" s="96">
        <v>0</v>
      </c>
      <c r="L66" s="96">
        <v>0</v>
      </c>
      <c r="M66" s="96">
        <v>0</v>
      </c>
      <c r="N66" s="96">
        <v>0</v>
      </c>
      <c r="O66" s="96">
        <v>0</v>
      </c>
      <c r="P66" s="97">
        <f t="shared" ref="P66:P70" si="64">SUM(C66:O66)</f>
        <v>0</v>
      </c>
      <c r="Q66" s="99">
        <v>62884.116082275897</v>
      </c>
      <c r="R66" s="98">
        <f t="shared" ref="R66:R71" si="65">Q66-P66</f>
        <v>62884.116082275897</v>
      </c>
      <c r="S66" s="93"/>
      <c r="T66" s="22">
        <v>111717.37</v>
      </c>
      <c r="U66" s="22">
        <v>30179.61</v>
      </c>
      <c r="V66" s="22">
        <v>5841.56</v>
      </c>
      <c r="W66" s="22">
        <v>0</v>
      </c>
      <c r="X66" s="22">
        <f t="shared" ref="X66:X71" si="66">SUM(T66:W66)</f>
        <v>147738.53999999998</v>
      </c>
      <c r="Y66" s="6">
        <v>26668.25</v>
      </c>
      <c r="Z66" s="6">
        <f>Y66-X66</f>
        <v>-121070.28999999998</v>
      </c>
      <c r="AA66" s="4" t="s">
        <v>64</v>
      </c>
    </row>
    <row r="67" spans="1:27" x14ac:dyDescent="0.2">
      <c r="A67" s="79">
        <v>14</v>
      </c>
      <c r="B67" s="43" t="s">
        <v>40</v>
      </c>
      <c r="C67" s="96">
        <v>1571825</v>
      </c>
      <c r="D67" s="96">
        <v>515521</v>
      </c>
      <c r="E67" s="96">
        <v>49821</v>
      </c>
      <c r="F67" s="96">
        <v>8558.41</v>
      </c>
      <c r="G67" s="96">
        <v>2200</v>
      </c>
      <c r="H67" s="96">
        <v>0</v>
      </c>
      <c r="I67" s="96">
        <v>0</v>
      </c>
      <c r="J67" s="96">
        <v>14600</v>
      </c>
      <c r="K67" s="96">
        <v>0</v>
      </c>
      <c r="L67" s="96">
        <v>24819.21</v>
      </c>
      <c r="M67" s="96">
        <v>24117.48</v>
      </c>
      <c r="N67" s="96">
        <v>8000</v>
      </c>
      <c r="O67" s="96">
        <v>21780.3</v>
      </c>
      <c r="P67" s="97">
        <f t="shared" si="64"/>
        <v>2241242.4</v>
      </c>
      <c r="Q67" s="99">
        <v>1367036.4306916082</v>
      </c>
      <c r="R67" s="98">
        <f t="shared" si="65"/>
        <v>-874205.96930839168</v>
      </c>
      <c r="S67" s="50"/>
      <c r="T67" s="22">
        <v>1785416.84</v>
      </c>
      <c r="U67" s="22">
        <v>556886.81999999995</v>
      </c>
      <c r="V67" s="22">
        <v>639297.11</v>
      </c>
      <c r="W67" s="22">
        <v>236235.02</v>
      </c>
      <c r="X67" s="22">
        <f t="shared" si="66"/>
        <v>3217835.79</v>
      </c>
      <c r="Y67" s="6">
        <v>3496722.47</v>
      </c>
      <c r="Z67" s="6">
        <f t="shared" ref="Z67:Z71" si="67">Y67-X67</f>
        <v>278886.68000000017</v>
      </c>
    </row>
    <row r="68" spans="1:27" x14ac:dyDescent="0.2">
      <c r="A68" s="79">
        <v>14</v>
      </c>
      <c r="B68" s="43" t="s">
        <v>41</v>
      </c>
      <c r="C68" s="96">
        <v>0</v>
      </c>
      <c r="D68" s="96">
        <v>0</v>
      </c>
      <c r="E68" s="96">
        <v>0</v>
      </c>
      <c r="F68" s="96">
        <v>0</v>
      </c>
      <c r="G68" s="96">
        <v>0</v>
      </c>
      <c r="H68" s="96">
        <v>0</v>
      </c>
      <c r="I68" s="96">
        <v>0</v>
      </c>
      <c r="J68" s="96">
        <v>0</v>
      </c>
      <c r="K68" s="96">
        <v>0</v>
      </c>
      <c r="L68" s="96">
        <v>0</v>
      </c>
      <c r="M68" s="96">
        <v>0</v>
      </c>
      <c r="N68" s="96">
        <v>0</v>
      </c>
      <c r="O68" s="96">
        <v>0</v>
      </c>
      <c r="P68" s="97">
        <f t="shared" si="64"/>
        <v>0</v>
      </c>
      <c r="Q68" s="99">
        <v>395077.65070274251</v>
      </c>
      <c r="R68" s="98">
        <f t="shared" si="65"/>
        <v>395077.65070274251</v>
      </c>
      <c r="S68" s="50"/>
      <c r="T68" s="22">
        <v>207102.45</v>
      </c>
      <c r="U68" s="22">
        <v>60050.93</v>
      </c>
      <c r="V68" s="22">
        <v>6728.09</v>
      </c>
      <c r="W68" s="22">
        <v>0</v>
      </c>
      <c r="X68" s="22">
        <f t="shared" si="66"/>
        <v>273881.47000000003</v>
      </c>
      <c r="Y68" s="6">
        <v>276121.15000000002</v>
      </c>
      <c r="Z68" s="6">
        <f t="shared" si="67"/>
        <v>2239.679999999993</v>
      </c>
    </row>
    <row r="69" spans="1:27" x14ac:dyDescent="0.2">
      <c r="A69" s="79">
        <v>14</v>
      </c>
      <c r="B69" s="43" t="s">
        <v>42</v>
      </c>
      <c r="C69" s="96">
        <v>0</v>
      </c>
      <c r="D69" s="96">
        <v>0</v>
      </c>
      <c r="E69" s="96">
        <v>0</v>
      </c>
      <c r="F69" s="96">
        <v>0</v>
      </c>
      <c r="G69" s="96">
        <v>0</v>
      </c>
      <c r="H69" s="96">
        <v>0</v>
      </c>
      <c r="I69" s="96">
        <v>0</v>
      </c>
      <c r="J69" s="96">
        <v>0</v>
      </c>
      <c r="K69" s="96">
        <v>0</v>
      </c>
      <c r="L69" s="96">
        <v>0</v>
      </c>
      <c r="M69" s="96">
        <v>0</v>
      </c>
      <c r="N69" s="96">
        <v>0</v>
      </c>
      <c r="O69" s="96">
        <v>0</v>
      </c>
      <c r="P69" s="97">
        <f t="shared" si="64"/>
        <v>0</v>
      </c>
      <c r="Q69" s="99">
        <v>134305.45236348966</v>
      </c>
      <c r="R69" s="98">
        <f t="shared" si="65"/>
        <v>134305.45236348966</v>
      </c>
      <c r="S69" s="50"/>
      <c r="T69" s="22">
        <v>171317.03</v>
      </c>
      <c r="U69" s="22">
        <v>61698.65</v>
      </c>
      <c r="V69" s="22">
        <v>6239.62</v>
      </c>
      <c r="W69" s="22">
        <v>0</v>
      </c>
      <c r="X69" s="22">
        <f t="shared" si="66"/>
        <v>239255.3</v>
      </c>
      <c r="Y69" s="6">
        <v>124057.72</v>
      </c>
      <c r="Z69" s="6">
        <f t="shared" si="67"/>
        <v>-115197.57999999999</v>
      </c>
    </row>
    <row r="70" spans="1:27" ht="13.5" thickBot="1" x14ac:dyDescent="0.25">
      <c r="A70" s="79">
        <v>14</v>
      </c>
      <c r="B70" s="43" t="s">
        <v>43</v>
      </c>
      <c r="C70" s="100">
        <v>0</v>
      </c>
      <c r="D70" s="100">
        <v>0</v>
      </c>
      <c r="E70" s="100">
        <v>0</v>
      </c>
      <c r="F70" s="100">
        <v>0</v>
      </c>
      <c r="G70" s="100">
        <v>0</v>
      </c>
      <c r="H70" s="100">
        <v>0</v>
      </c>
      <c r="I70" s="100">
        <v>0</v>
      </c>
      <c r="J70" s="100">
        <v>0</v>
      </c>
      <c r="K70" s="100">
        <v>0</v>
      </c>
      <c r="L70" s="100">
        <v>0</v>
      </c>
      <c r="M70" s="100">
        <v>0</v>
      </c>
      <c r="N70" s="100">
        <v>0</v>
      </c>
      <c r="O70" s="100">
        <v>0</v>
      </c>
      <c r="P70" s="101">
        <f t="shared" si="64"/>
        <v>0</v>
      </c>
      <c r="Q70" s="102">
        <v>220980.97170271139</v>
      </c>
      <c r="R70" s="103">
        <f t="shared" si="65"/>
        <v>220980.97170271139</v>
      </c>
      <c r="S70" s="93"/>
      <c r="T70" s="24">
        <v>235157.15</v>
      </c>
      <c r="U70" s="24">
        <v>95421.34</v>
      </c>
      <c r="V70" s="24">
        <v>6583.51</v>
      </c>
      <c r="W70" s="24">
        <v>0</v>
      </c>
      <c r="X70" s="24">
        <f t="shared" si="66"/>
        <v>337162</v>
      </c>
      <c r="Y70" s="62">
        <v>292303.51</v>
      </c>
      <c r="Z70" s="62">
        <f t="shared" si="67"/>
        <v>-44858.489999999991</v>
      </c>
    </row>
    <row r="71" spans="1:27" ht="13.5" thickTop="1" x14ac:dyDescent="0.2">
      <c r="A71" s="44"/>
      <c r="B71" s="45" t="s">
        <v>4</v>
      </c>
      <c r="C71" s="106">
        <f>SUM(C66:C70)</f>
        <v>1571825</v>
      </c>
      <c r="D71" s="106">
        <f t="shared" ref="D71:O71" si="68">SUM(D66:D70)</f>
        <v>515521</v>
      </c>
      <c r="E71" s="106">
        <f t="shared" si="68"/>
        <v>49821</v>
      </c>
      <c r="F71" s="106">
        <f t="shared" si="68"/>
        <v>8558.41</v>
      </c>
      <c r="G71" s="106">
        <f t="shared" si="68"/>
        <v>2200</v>
      </c>
      <c r="H71" s="106">
        <f t="shared" si="68"/>
        <v>0</v>
      </c>
      <c r="I71" s="106">
        <f t="shared" si="68"/>
        <v>0</v>
      </c>
      <c r="J71" s="106">
        <f t="shared" si="68"/>
        <v>14600</v>
      </c>
      <c r="K71" s="106">
        <f t="shared" si="68"/>
        <v>0</v>
      </c>
      <c r="L71" s="106">
        <f t="shared" si="68"/>
        <v>24819.21</v>
      </c>
      <c r="M71" s="106">
        <f t="shared" si="68"/>
        <v>24117.48</v>
      </c>
      <c r="N71" s="106">
        <f t="shared" si="68"/>
        <v>8000</v>
      </c>
      <c r="O71" s="106">
        <f t="shared" si="68"/>
        <v>21780.3</v>
      </c>
      <c r="P71" s="48">
        <f>SUM(C71:O71)</f>
        <v>2241242.4</v>
      </c>
      <c r="Q71" s="47">
        <f>SUM(Q66:Q70)</f>
        <v>2180284.6215428277</v>
      </c>
      <c r="R71" s="49">
        <f t="shared" si="65"/>
        <v>-60957.778457172215</v>
      </c>
      <c r="S71" s="50"/>
      <c r="T71" s="25">
        <f t="shared" ref="T71:W71" si="69">SUM(T66:T70)</f>
        <v>2510710.84</v>
      </c>
      <c r="U71" s="25">
        <f t="shared" si="69"/>
        <v>804237.35</v>
      </c>
      <c r="V71" s="25">
        <f t="shared" si="69"/>
        <v>664689.89</v>
      </c>
      <c r="W71" s="25">
        <f t="shared" si="69"/>
        <v>236235.02</v>
      </c>
      <c r="X71" s="25">
        <f t="shared" si="66"/>
        <v>4215873.0999999996</v>
      </c>
      <c r="Y71" s="6">
        <v>4215873.1000000006</v>
      </c>
      <c r="Z71" s="6">
        <f t="shared" si="67"/>
        <v>0</v>
      </c>
    </row>
    <row r="72" spans="1:27" x14ac:dyDescent="0.2">
      <c r="A72" s="82"/>
      <c r="B72" s="83"/>
      <c r="C72" s="110"/>
      <c r="D72" s="110"/>
      <c r="E72" s="104"/>
      <c r="F72" s="104"/>
      <c r="G72" s="104"/>
      <c r="H72" s="104"/>
      <c r="I72" s="104"/>
      <c r="J72" s="104"/>
      <c r="K72" s="104"/>
      <c r="L72" s="104"/>
      <c r="M72" s="104"/>
      <c r="N72" s="104"/>
      <c r="O72" s="104"/>
      <c r="P72" s="111"/>
      <c r="Q72" s="104"/>
      <c r="R72" s="105"/>
      <c r="S72" s="50"/>
      <c r="T72" s="10"/>
      <c r="U72" s="10"/>
      <c r="V72" s="10"/>
      <c r="W72" s="10"/>
      <c r="X72" s="10"/>
      <c r="Y72" s="9"/>
      <c r="Z72" s="10"/>
      <c r="AA72" s="10"/>
    </row>
    <row r="73" spans="1:27" x14ac:dyDescent="0.2">
      <c r="A73" s="79">
        <v>15</v>
      </c>
      <c r="B73" s="43" t="s">
        <v>44</v>
      </c>
      <c r="C73" s="96">
        <v>182877.99</v>
      </c>
      <c r="D73" s="96">
        <v>57820.49</v>
      </c>
      <c r="E73" s="96">
        <v>591.62</v>
      </c>
      <c r="F73" s="96">
        <v>0</v>
      </c>
      <c r="G73" s="96">
        <v>1135.9100000000001</v>
      </c>
      <c r="H73" s="96">
        <v>1704.31</v>
      </c>
      <c r="I73" s="96">
        <v>0</v>
      </c>
      <c r="J73" s="96">
        <v>0</v>
      </c>
      <c r="K73" s="96">
        <v>3617.55</v>
      </c>
      <c r="L73" s="96">
        <v>148.25</v>
      </c>
      <c r="M73" s="96">
        <v>0</v>
      </c>
      <c r="N73" s="96">
        <v>0</v>
      </c>
      <c r="O73" s="96">
        <v>34619.61</v>
      </c>
      <c r="P73" s="97">
        <f t="shared" ref="P73:P74" si="70">SUM(C73:O73)</f>
        <v>282515.73</v>
      </c>
      <c r="Q73" s="99">
        <v>373707.51082422055</v>
      </c>
      <c r="R73" s="98">
        <f t="shared" ref="R73:R75" si="71">Q73-P73</f>
        <v>91191.780824220565</v>
      </c>
      <c r="S73" s="93"/>
      <c r="T73" s="22">
        <v>734310.72</v>
      </c>
      <c r="U73" s="22">
        <v>244832.57</v>
      </c>
      <c r="V73" s="22">
        <v>103621.05</v>
      </c>
      <c r="W73" s="22">
        <v>0</v>
      </c>
      <c r="X73" s="22">
        <f>SUM(T73:W73)</f>
        <v>1082764.3400000001</v>
      </c>
      <c r="Y73" s="6">
        <v>1106153</v>
      </c>
      <c r="Z73" s="6">
        <f>Y73-X73</f>
        <v>23388.659999999916</v>
      </c>
    </row>
    <row r="74" spans="1:27" ht="13.5" thickBot="1" x14ac:dyDescent="0.25">
      <c r="A74" s="79">
        <v>15</v>
      </c>
      <c r="B74" s="43" t="s">
        <v>45</v>
      </c>
      <c r="C74" s="100">
        <v>1196044.29</v>
      </c>
      <c r="D74" s="100">
        <v>381532.27999999997</v>
      </c>
      <c r="E74" s="100">
        <v>10226.67</v>
      </c>
      <c r="F74" s="100">
        <v>3317.19</v>
      </c>
      <c r="G74" s="100">
        <v>1287.93</v>
      </c>
      <c r="H74" s="100">
        <v>8795.8700000000008</v>
      </c>
      <c r="I74" s="100">
        <v>0</v>
      </c>
      <c r="J74" s="100">
        <v>17312.580000000002</v>
      </c>
      <c r="K74" s="100">
        <v>0</v>
      </c>
      <c r="L74" s="100">
        <v>1604.06</v>
      </c>
      <c r="M74" s="100">
        <v>41616.71</v>
      </c>
      <c r="N74" s="100">
        <v>0</v>
      </c>
      <c r="O74" s="100">
        <v>139281.54999999999</v>
      </c>
      <c r="P74" s="101">
        <f t="shared" si="70"/>
        <v>1801019.1300000001</v>
      </c>
      <c r="Q74" s="102">
        <v>2200603.1452070409</v>
      </c>
      <c r="R74" s="103">
        <f t="shared" si="71"/>
        <v>399584.01520704082</v>
      </c>
      <c r="S74" s="52"/>
      <c r="T74" s="24">
        <v>3834855.74</v>
      </c>
      <c r="U74" s="24">
        <v>1431644.11</v>
      </c>
      <c r="V74" s="24">
        <v>1091539.97</v>
      </c>
      <c r="W74" s="24">
        <v>0</v>
      </c>
      <c r="X74" s="24">
        <f>SUM(T74:W74)</f>
        <v>6358039.8200000003</v>
      </c>
      <c r="Y74" s="62">
        <v>7364490.7799999993</v>
      </c>
      <c r="Z74" s="62">
        <f t="shared" ref="Z74:Z75" si="72">Y74-X74</f>
        <v>1006450.959999999</v>
      </c>
    </row>
    <row r="75" spans="1:27" ht="13.5" thickTop="1" x14ac:dyDescent="0.2">
      <c r="A75" s="44"/>
      <c r="B75" s="45" t="s">
        <v>4</v>
      </c>
      <c r="C75" s="106">
        <f>SUM(C73:C74)</f>
        <v>1378922.28</v>
      </c>
      <c r="D75" s="106">
        <f t="shared" ref="D75:O75" si="73">SUM(D73:D74)</f>
        <v>439352.76999999996</v>
      </c>
      <c r="E75" s="106">
        <f t="shared" si="73"/>
        <v>10818.29</v>
      </c>
      <c r="F75" s="106">
        <f t="shared" si="73"/>
        <v>3317.19</v>
      </c>
      <c r="G75" s="106">
        <f t="shared" si="73"/>
        <v>2423.84</v>
      </c>
      <c r="H75" s="106">
        <f t="shared" si="73"/>
        <v>10500.18</v>
      </c>
      <c r="I75" s="106">
        <f t="shared" si="73"/>
        <v>0</v>
      </c>
      <c r="J75" s="106">
        <f t="shared" si="73"/>
        <v>17312.580000000002</v>
      </c>
      <c r="K75" s="106">
        <f t="shared" si="73"/>
        <v>3617.55</v>
      </c>
      <c r="L75" s="106">
        <f t="shared" si="73"/>
        <v>1752.31</v>
      </c>
      <c r="M75" s="106">
        <f t="shared" si="73"/>
        <v>41616.71</v>
      </c>
      <c r="N75" s="106">
        <f t="shared" si="73"/>
        <v>0</v>
      </c>
      <c r="O75" s="106">
        <f t="shared" si="73"/>
        <v>173901.15999999997</v>
      </c>
      <c r="P75" s="48">
        <f>SUM(C75:O75)</f>
        <v>2083534.86</v>
      </c>
      <c r="Q75" s="47">
        <f>SUM(Q73:Q74)</f>
        <v>2574310.6560312617</v>
      </c>
      <c r="R75" s="49">
        <f t="shared" si="71"/>
        <v>490775.79603126156</v>
      </c>
      <c r="S75" s="50"/>
      <c r="T75" s="25">
        <f t="shared" ref="T75:W75" si="74">SUM(T73:T74)</f>
        <v>4569166.46</v>
      </c>
      <c r="U75" s="25">
        <f t="shared" si="74"/>
        <v>1676476.6800000002</v>
      </c>
      <c r="V75" s="25">
        <f t="shared" si="74"/>
        <v>1195161.02</v>
      </c>
      <c r="W75" s="25">
        <f t="shared" si="74"/>
        <v>0</v>
      </c>
      <c r="X75" s="25">
        <f>SUM(T75:W75)</f>
        <v>7440804.1600000001</v>
      </c>
      <c r="Y75" s="6">
        <v>8470643.7799999993</v>
      </c>
      <c r="Z75" s="6">
        <f t="shared" si="72"/>
        <v>1029839.6199999992</v>
      </c>
    </row>
    <row r="76" spans="1:27" x14ac:dyDescent="0.2">
      <c r="A76" s="82"/>
      <c r="B76" s="83"/>
      <c r="C76" s="112"/>
      <c r="D76" s="112"/>
      <c r="E76" s="104"/>
      <c r="F76" s="104"/>
      <c r="G76" s="104"/>
      <c r="H76" s="104"/>
      <c r="I76" s="104"/>
      <c r="J76" s="104"/>
      <c r="K76" s="104"/>
      <c r="L76" s="104"/>
      <c r="M76" s="104"/>
      <c r="N76" s="104"/>
      <c r="O76" s="104"/>
      <c r="P76" s="111"/>
      <c r="Q76" s="104"/>
      <c r="R76" s="105"/>
      <c r="S76" s="89"/>
      <c r="T76" s="10"/>
      <c r="U76" s="10"/>
      <c r="V76" s="10"/>
      <c r="W76" s="10"/>
      <c r="X76" s="10"/>
      <c r="Y76" s="9"/>
      <c r="Z76" s="10"/>
      <c r="AA76" s="10"/>
    </row>
    <row r="77" spans="1:27" x14ac:dyDescent="0.2">
      <c r="A77" s="79">
        <v>16</v>
      </c>
      <c r="B77" s="43" t="s">
        <v>46</v>
      </c>
      <c r="C77" s="96">
        <v>167897.16</v>
      </c>
      <c r="D77" s="96">
        <v>46847.979999999996</v>
      </c>
      <c r="E77" s="96">
        <v>0</v>
      </c>
      <c r="F77" s="96">
        <v>1811</v>
      </c>
      <c r="G77" s="96">
        <v>70</v>
      </c>
      <c r="H77" s="96">
        <v>0</v>
      </c>
      <c r="I77" s="96">
        <v>0</v>
      </c>
      <c r="J77" s="96">
        <v>1118.31</v>
      </c>
      <c r="K77" s="96">
        <v>180</v>
      </c>
      <c r="L77" s="96">
        <v>0</v>
      </c>
      <c r="M77" s="96">
        <v>400</v>
      </c>
      <c r="N77" s="96">
        <v>0</v>
      </c>
      <c r="O77" s="96">
        <v>338.89</v>
      </c>
      <c r="P77" s="97">
        <f t="shared" ref="P77:P78" si="75">SUM(C77:O77)</f>
        <v>218663.34000000003</v>
      </c>
      <c r="Q77" s="99">
        <v>229612.11976761612</v>
      </c>
      <c r="R77" s="98">
        <f t="shared" ref="R77:R79" si="76">Q77-P77</f>
        <v>10948.779767616099</v>
      </c>
      <c r="S77" s="89"/>
      <c r="T77" s="22">
        <v>298335</v>
      </c>
      <c r="U77" s="22">
        <v>88166</v>
      </c>
      <c r="V77" s="22">
        <v>15865</v>
      </c>
      <c r="W77" s="22">
        <v>0</v>
      </c>
      <c r="X77" s="22">
        <f>SUM(T77:W77)</f>
        <v>402366</v>
      </c>
      <c r="Y77" s="6">
        <v>469246</v>
      </c>
      <c r="Z77" s="6">
        <f>Y77-X77</f>
        <v>66880</v>
      </c>
    </row>
    <row r="78" spans="1:27" ht="13.5" thickBot="1" x14ac:dyDescent="0.25">
      <c r="A78" s="79">
        <v>16</v>
      </c>
      <c r="B78" s="43" t="s">
        <v>47</v>
      </c>
      <c r="C78" s="100">
        <v>1522816.99</v>
      </c>
      <c r="D78" s="100">
        <v>459037.35999999993</v>
      </c>
      <c r="E78" s="100">
        <v>0</v>
      </c>
      <c r="F78" s="100">
        <v>6539</v>
      </c>
      <c r="G78" s="100">
        <v>3899.83</v>
      </c>
      <c r="H78" s="100">
        <v>0</v>
      </c>
      <c r="I78" s="100">
        <v>0</v>
      </c>
      <c r="J78" s="100">
        <v>9749.41</v>
      </c>
      <c r="K78" s="100">
        <v>2771.28</v>
      </c>
      <c r="L78" s="100">
        <v>11644.95</v>
      </c>
      <c r="M78" s="100">
        <v>7086</v>
      </c>
      <c r="N78" s="100">
        <v>720</v>
      </c>
      <c r="O78" s="100">
        <v>21295.980000000003</v>
      </c>
      <c r="P78" s="101">
        <f t="shared" si="75"/>
        <v>2045560.7999999998</v>
      </c>
      <c r="Q78" s="102">
        <v>2360323.8610891984</v>
      </c>
      <c r="R78" s="103">
        <f t="shared" si="76"/>
        <v>314763.06108919857</v>
      </c>
      <c r="S78" s="89"/>
      <c r="T78" s="24">
        <v>4144899</v>
      </c>
      <c r="U78" s="24">
        <v>1186025</v>
      </c>
      <c r="V78" s="24">
        <v>1332935</v>
      </c>
      <c r="W78" s="24">
        <v>0</v>
      </c>
      <c r="X78" s="24">
        <f>SUM(T78:W78)</f>
        <v>6663859</v>
      </c>
      <c r="Y78" s="62">
        <v>6715900</v>
      </c>
      <c r="Z78" s="62">
        <f t="shared" ref="Z78:Z79" si="77">Y78-X78</f>
        <v>52041</v>
      </c>
    </row>
    <row r="79" spans="1:27" ht="13.5" thickTop="1" x14ac:dyDescent="0.2">
      <c r="A79" s="84"/>
      <c r="B79" s="45" t="s">
        <v>4</v>
      </c>
      <c r="C79" s="106">
        <f>SUM(C77:C78)</f>
        <v>1690714.15</v>
      </c>
      <c r="D79" s="106">
        <f t="shared" ref="D79:O79" si="78">SUM(D77:D78)</f>
        <v>505885.33999999991</v>
      </c>
      <c r="E79" s="106">
        <f t="shared" si="78"/>
        <v>0</v>
      </c>
      <c r="F79" s="106">
        <f t="shared" si="78"/>
        <v>8350</v>
      </c>
      <c r="G79" s="106">
        <f t="shared" si="78"/>
        <v>3969.83</v>
      </c>
      <c r="H79" s="106">
        <f t="shared" si="78"/>
        <v>0</v>
      </c>
      <c r="I79" s="106">
        <f t="shared" si="78"/>
        <v>0</v>
      </c>
      <c r="J79" s="106">
        <f t="shared" si="78"/>
        <v>10867.72</v>
      </c>
      <c r="K79" s="106">
        <f t="shared" si="78"/>
        <v>2951.28</v>
      </c>
      <c r="L79" s="106">
        <f t="shared" si="78"/>
        <v>11644.95</v>
      </c>
      <c r="M79" s="106">
        <f t="shared" si="78"/>
        <v>7486</v>
      </c>
      <c r="N79" s="106">
        <f t="shared" si="78"/>
        <v>720</v>
      </c>
      <c r="O79" s="106">
        <f t="shared" si="78"/>
        <v>21634.870000000003</v>
      </c>
      <c r="P79" s="48">
        <f>SUM(C79:O79)</f>
        <v>2264224.14</v>
      </c>
      <c r="Q79" s="47">
        <f>SUM(Q77:Q78)</f>
        <v>2589935.9808568144</v>
      </c>
      <c r="R79" s="49">
        <f t="shared" si="76"/>
        <v>325711.84085681429</v>
      </c>
      <c r="S79" s="89"/>
      <c r="T79" s="25">
        <f t="shared" ref="T79:W79" si="79">SUM(T77:T78)</f>
        <v>4443234</v>
      </c>
      <c r="U79" s="25">
        <f t="shared" si="79"/>
        <v>1274191</v>
      </c>
      <c r="V79" s="25">
        <f t="shared" si="79"/>
        <v>1348800</v>
      </c>
      <c r="W79" s="25">
        <f t="shared" si="79"/>
        <v>0</v>
      </c>
      <c r="X79" s="25">
        <f>SUM(T79:W79)</f>
        <v>7066225</v>
      </c>
      <c r="Y79" s="6">
        <v>7185146</v>
      </c>
      <c r="Z79" s="6">
        <f t="shared" si="77"/>
        <v>118921</v>
      </c>
    </row>
    <row r="80" spans="1:27" x14ac:dyDescent="0.2">
      <c r="A80" s="115"/>
      <c r="B80" s="115"/>
      <c r="C80" s="116"/>
      <c r="D80" s="116"/>
      <c r="E80" s="116"/>
      <c r="F80" s="116"/>
      <c r="G80" s="116"/>
      <c r="H80" s="116"/>
      <c r="I80" s="116"/>
      <c r="J80" s="116"/>
      <c r="K80" s="116"/>
      <c r="L80" s="116"/>
      <c r="M80" s="116"/>
      <c r="N80" s="116"/>
      <c r="O80" s="116"/>
      <c r="P80" s="117"/>
      <c r="Q80" s="116"/>
      <c r="R80" s="118"/>
      <c r="S80" s="89"/>
      <c r="T80" s="30"/>
      <c r="U80" s="31"/>
      <c r="V80" s="27"/>
      <c r="W80" s="27"/>
      <c r="X80" s="31"/>
      <c r="Y80" s="9"/>
      <c r="Z80" s="10"/>
      <c r="AA80" s="10"/>
    </row>
    <row r="81" spans="1:27" x14ac:dyDescent="0.2">
      <c r="A81" s="85"/>
      <c r="B81" s="86"/>
      <c r="C81" s="119"/>
      <c r="D81" s="119"/>
      <c r="E81" s="119"/>
      <c r="F81" s="119"/>
      <c r="G81" s="119"/>
      <c r="H81" s="119"/>
      <c r="I81" s="119"/>
      <c r="J81" s="119"/>
      <c r="K81" s="119"/>
      <c r="L81" s="119"/>
      <c r="M81" s="119"/>
      <c r="N81" s="119"/>
      <c r="O81" s="119"/>
      <c r="P81" s="119"/>
      <c r="Q81" s="119"/>
      <c r="R81" s="119"/>
      <c r="S81" s="89"/>
      <c r="T81" s="32"/>
      <c r="U81" s="22"/>
      <c r="V81" s="32"/>
      <c r="W81" s="32"/>
      <c r="X81" s="32"/>
      <c r="Y81" s="6"/>
    </row>
    <row r="82" spans="1:27" s="1" customFormat="1" x14ac:dyDescent="0.2">
      <c r="A82" s="87"/>
      <c r="B82" s="65" t="s">
        <v>48</v>
      </c>
      <c r="C82" s="120">
        <f t="shared" ref="C82:R82" si="80">SUM(C6+C11+C17+C23+C27+C32+C36+C42+C46+C50+C56+C60+C64+C71+C75+C79)</f>
        <v>22185686.710000001</v>
      </c>
      <c r="D82" s="120">
        <f t="shared" si="80"/>
        <v>6489039.8199999994</v>
      </c>
      <c r="E82" s="120">
        <f t="shared" si="80"/>
        <v>136385.07999999999</v>
      </c>
      <c r="F82" s="120">
        <f t="shared" si="80"/>
        <v>302353.69099999999</v>
      </c>
      <c r="G82" s="120">
        <f t="shared" si="80"/>
        <v>46849.66</v>
      </c>
      <c r="H82" s="120">
        <f t="shared" si="80"/>
        <v>184631.5</v>
      </c>
      <c r="I82" s="120">
        <f t="shared" si="80"/>
        <v>24965.68</v>
      </c>
      <c r="J82" s="120">
        <f t="shared" si="80"/>
        <v>198735.84</v>
      </c>
      <c r="K82" s="120">
        <f t="shared" si="80"/>
        <v>145602.32999999996</v>
      </c>
      <c r="L82" s="120">
        <f t="shared" si="80"/>
        <v>721789.18</v>
      </c>
      <c r="M82" s="120">
        <f t="shared" si="80"/>
        <v>336244.93</v>
      </c>
      <c r="N82" s="120">
        <f t="shared" si="80"/>
        <v>116007.07</v>
      </c>
      <c r="O82" s="120">
        <f t="shared" si="80"/>
        <v>1067396.6800000002</v>
      </c>
      <c r="P82" s="120">
        <f t="shared" si="80"/>
        <v>31955688.171000004</v>
      </c>
      <c r="Q82" s="120">
        <f t="shared" si="80"/>
        <v>36696348.929999992</v>
      </c>
      <c r="R82" s="120">
        <f t="shared" si="80"/>
        <v>4740660.7589999977</v>
      </c>
      <c r="S82" s="89"/>
      <c r="T82" s="34">
        <f>T79+T75+T71+T64+T60+T56+T50+T46+T42+T36+T32+T27+T23+T17+T11+T6</f>
        <v>53335122.500000007</v>
      </c>
      <c r="U82" s="34">
        <f>U79+U75+U71+U64+U60+U56+U50+U46+U42+U36+U32+U27+U23+U17+U11+U6</f>
        <v>14913859.970000001</v>
      </c>
      <c r="V82" s="34">
        <f>V79+V75+V71+V64+V60+V56+V50+V46+V42+V36+V32+V27+V23+V17+V11+V6</f>
        <v>9744961.4199999999</v>
      </c>
      <c r="W82" s="34">
        <f>W79+W75+W71+W64+W60+W56+W50+W46+W42+W36+W32+W27+W23+W17+W11+W6</f>
        <v>656732.11</v>
      </c>
      <c r="X82" s="25">
        <f>SUM(T82:W82)</f>
        <v>78650676.000000015</v>
      </c>
      <c r="Y82" s="63">
        <v>78759133.140000001</v>
      </c>
      <c r="Z82" s="64">
        <f>Y82-X82</f>
        <v>108457.13999998569</v>
      </c>
      <c r="AA82" s="23"/>
    </row>
    <row r="83" spans="1:27" s="1" customFormat="1" x14ac:dyDescent="0.2">
      <c r="A83" s="2"/>
      <c r="B83" s="3"/>
      <c r="C83" s="53"/>
      <c r="D83" s="53"/>
      <c r="E83" s="53"/>
      <c r="F83" s="54"/>
      <c r="G83" s="35"/>
      <c r="H83" s="35"/>
      <c r="I83" s="35"/>
      <c r="J83" s="35"/>
      <c r="K83" s="35"/>
      <c r="L83" s="35"/>
      <c r="M83" s="35"/>
      <c r="N83" s="35"/>
      <c r="O83" s="35"/>
      <c r="P83" s="35"/>
      <c r="Q83" s="35"/>
      <c r="R83" s="35"/>
      <c r="T83" s="23"/>
      <c r="U83" s="23"/>
      <c r="V83" s="23"/>
      <c r="W83" s="23"/>
      <c r="X83" s="23"/>
      <c r="Y83" s="23"/>
      <c r="Z83" s="23"/>
      <c r="AA83" s="23"/>
    </row>
    <row r="84" spans="1:27" s="1" customFormat="1" x14ac:dyDescent="0.2">
      <c r="A84" s="2"/>
      <c r="B84" s="3"/>
      <c r="C84" s="53"/>
      <c r="D84" s="53"/>
      <c r="E84" s="53"/>
      <c r="F84" s="54"/>
      <c r="G84" s="35"/>
      <c r="H84" s="35"/>
      <c r="I84" s="35"/>
      <c r="J84" s="35"/>
      <c r="K84" s="35"/>
      <c r="L84" s="35"/>
      <c r="M84" s="35"/>
      <c r="N84" s="35"/>
      <c r="O84" s="35"/>
      <c r="P84" s="35"/>
      <c r="Q84" s="35"/>
      <c r="R84" s="35"/>
      <c r="T84" s="23"/>
      <c r="U84" s="23"/>
      <c r="V84" s="23"/>
      <c r="W84" s="23"/>
      <c r="X84" s="23"/>
      <c r="Y84" s="23"/>
      <c r="Z84" s="23"/>
      <c r="AA84" s="23"/>
    </row>
    <row r="85" spans="1:27" x14ac:dyDescent="0.2">
      <c r="B85" s="3"/>
      <c r="C85" s="53"/>
      <c r="D85" s="53"/>
      <c r="E85" s="53"/>
      <c r="F85" s="54"/>
      <c r="G85" s="35"/>
      <c r="H85" s="35"/>
      <c r="I85" s="35"/>
      <c r="J85" s="35"/>
      <c r="K85" s="35"/>
      <c r="L85" s="35"/>
      <c r="M85" s="35"/>
      <c r="N85" s="35"/>
      <c r="O85" s="35"/>
      <c r="P85" s="35"/>
      <c r="Q85" s="35"/>
      <c r="R85" s="35"/>
    </row>
    <row r="86" spans="1:27" x14ac:dyDescent="0.2">
      <c r="F86" s="54"/>
      <c r="G86" s="35"/>
      <c r="H86" s="35"/>
      <c r="I86" s="35"/>
      <c r="J86" s="35"/>
      <c r="K86" s="35"/>
      <c r="L86" s="35"/>
      <c r="M86" s="35"/>
      <c r="N86" s="35"/>
      <c r="O86" s="35"/>
      <c r="P86" s="35"/>
      <c r="Q86" s="35"/>
      <c r="R86" s="35"/>
    </row>
    <row r="87" spans="1:27" x14ac:dyDescent="0.2">
      <c r="F87" s="58"/>
      <c r="G87" s="35"/>
      <c r="H87" s="35"/>
      <c r="I87" s="35"/>
      <c r="J87" s="35"/>
      <c r="K87" s="35"/>
      <c r="L87" s="35"/>
      <c r="M87" s="35"/>
      <c r="N87" s="35"/>
      <c r="O87" s="35"/>
      <c r="P87" s="35"/>
      <c r="Q87" s="35"/>
      <c r="R87" s="35"/>
    </row>
  </sheetData>
  <pageMargins left="0.7" right="0.7" top="0.75" bottom="0.75" header="0.3" footer="0.3"/>
  <pageSetup paperSize="5" scale="42" fitToHeight="0" orientation="landscape" r:id="rId1"/>
  <headerFooter>
    <oddHeader>&amp;CFY 16-17 Combined Expense Details - Indigent Defense and Solicitor's Offices</oddHeader>
    <oddFooter>&amp;LData and analysis based on reports submitted by Commission on Indigent Defense and Commission on Prosecution Coordination pursuant to FY15-16 Proviso 117.110 and FY16-17 Proviso 117.109</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0"/>
  <sheetViews>
    <sheetView zoomScaleNormal="100" workbookViewId="0">
      <pane xSplit="2" ySplit="2" topLeftCell="C3" activePane="bottomRight" state="frozen"/>
      <selection pane="topRight" activeCell="C1" sqref="C1"/>
      <selection pane="bottomLeft" activeCell="A3" sqref="A3"/>
      <selection pane="bottomRight" activeCell="P9" sqref="P9"/>
    </sheetView>
  </sheetViews>
  <sheetFormatPr defaultColWidth="22.140625" defaultRowHeight="12.75" outlineLevelCol="1" x14ac:dyDescent="0.2"/>
  <cols>
    <col min="1" max="1" width="7.140625" style="77" customWidth="1"/>
    <col min="2" max="2" width="11.7109375" style="1" bestFit="1" customWidth="1"/>
    <col min="3" max="5" width="14.28515625" style="1" bestFit="1" customWidth="1" outlineLevel="1"/>
    <col min="6" max="6" width="14.28515625" style="35" bestFit="1" customWidth="1" outlineLevel="1"/>
    <col min="7" max="9" width="14.28515625" style="1" bestFit="1" customWidth="1" outlineLevel="1"/>
    <col min="10" max="10" width="21.5703125" style="142" customWidth="1" outlineLevel="1"/>
    <col min="11" max="11" width="5" style="1" customWidth="1"/>
    <col min="12" max="12" width="14.28515625" style="1" bestFit="1" customWidth="1" outlineLevel="1"/>
    <col min="13" max="13" width="13.28515625" style="35" bestFit="1" customWidth="1" outlineLevel="1"/>
    <col min="14" max="14" width="15.42578125" style="1" bestFit="1" customWidth="1" outlineLevel="1"/>
    <col min="15" max="15" width="14.28515625" style="1" bestFit="1" customWidth="1" outlineLevel="1"/>
    <col min="16" max="16" width="13.28515625" style="1" bestFit="1" customWidth="1" outlineLevel="1"/>
    <col min="17" max="17" width="14.28515625" style="1" bestFit="1" customWidth="1" outlineLevel="1"/>
    <col min="18" max="18" width="23.85546875" style="142" customWidth="1" outlineLevel="1"/>
    <col min="19" max="16384" width="22.140625" style="1"/>
  </cols>
  <sheetData>
    <row r="1" spans="1:18" x14ac:dyDescent="0.2">
      <c r="C1" s="14" t="s">
        <v>49</v>
      </c>
      <c r="D1" s="14" t="s">
        <v>49</v>
      </c>
      <c r="E1" s="14" t="s">
        <v>49</v>
      </c>
      <c r="F1" s="14" t="s">
        <v>49</v>
      </c>
      <c r="G1" s="14" t="s">
        <v>49</v>
      </c>
      <c r="H1" s="14" t="s">
        <v>49</v>
      </c>
      <c r="I1" s="14" t="s">
        <v>49</v>
      </c>
      <c r="J1" s="141" t="s">
        <v>49</v>
      </c>
      <c r="K1" s="15"/>
      <c r="L1" s="16" t="s">
        <v>53</v>
      </c>
      <c r="M1" s="16" t="s">
        <v>53</v>
      </c>
      <c r="N1" s="16" t="s">
        <v>53</v>
      </c>
      <c r="O1" s="16" t="s">
        <v>53</v>
      </c>
      <c r="P1" s="16" t="s">
        <v>53</v>
      </c>
      <c r="Q1" s="16" t="s">
        <v>53</v>
      </c>
      <c r="R1" s="143" t="s">
        <v>53</v>
      </c>
    </row>
    <row r="2" spans="1:18" ht="76.5" x14ac:dyDescent="0.2">
      <c r="A2" s="17" t="s">
        <v>79</v>
      </c>
      <c r="B2" s="17" t="s">
        <v>176</v>
      </c>
      <c r="C2" s="17" t="s">
        <v>172</v>
      </c>
      <c r="D2" s="17" t="s">
        <v>175</v>
      </c>
      <c r="E2" s="17" t="s">
        <v>177</v>
      </c>
      <c r="F2" s="18" t="s">
        <v>173</v>
      </c>
      <c r="G2" s="19" t="s">
        <v>178</v>
      </c>
      <c r="H2" s="17" t="s">
        <v>179</v>
      </c>
      <c r="I2" s="17" t="s">
        <v>84</v>
      </c>
      <c r="J2" s="19" t="s">
        <v>85</v>
      </c>
      <c r="K2" s="138"/>
      <c r="L2" s="17" t="s">
        <v>172</v>
      </c>
      <c r="M2" s="18" t="s">
        <v>173</v>
      </c>
      <c r="N2" s="19" t="s">
        <v>174</v>
      </c>
      <c r="O2" s="17" t="s">
        <v>175</v>
      </c>
      <c r="P2" s="17" t="s">
        <v>86</v>
      </c>
      <c r="Q2" s="17" t="s">
        <v>84</v>
      </c>
      <c r="R2" s="21" t="s">
        <v>87</v>
      </c>
    </row>
    <row r="3" spans="1:18" x14ac:dyDescent="0.2">
      <c r="A3" s="88">
        <v>1</v>
      </c>
      <c r="B3" s="32" t="s">
        <v>88</v>
      </c>
      <c r="C3" s="22">
        <v>32000</v>
      </c>
      <c r="D3" s="22">
        <v>62459.589360642756</v>
      </c>
      <c r="E3" s="22">
        <v>0</v>
      </c>
      <c r="F3" s="22">
        <v>0</v>
      </c>
      <c r="G3" s="22">
        <v>0</v>
      </c>
      <c r="H3" s="22">
        <v>0</v>
      </c>
      <c r="I3" s="22">
        <f>SUM(C3:H3)</f>
        <v>94459.589360642756</v>
      </c>
      <c r="J3" s="67"/>
      <c r="K3" s="121"/>
      <c r="L3" s="22">
        <v>95000</v>
      </c>
      <c r="M3" s="22">
        <v>0</v>
      </c>
      <c r="N3" s="22">
        <v>96745</v>
      </c>
      <c r="O3" s="22">
        <v>0</v>
      </c>
      <c r="P3" s="22">
        <v>0</v>
      </c>
      <c r="Q3" s="22">
        <f>SUM(L3:P3)</f>
        <v>191745</v>
      </c>
      <c r="R3" s="23"/>
    </row>
    <row r="4" spans="1:18" x14ac:dyDescent="0.2">
      <c r="A4" s="88">
        <v>1</v>
      </c>
      <c r="B4" s="32" t="s">
        <v>89</v>
      </c>
      <c r="C4" s="22">
        <v>642853.5</v>
      </c>
      <c r="D4" s="22">
        <v>562053.98518237704</v>
      </c>
      <c r="E4" s="22">
        <v>0</v>
      </c>
      <c r="F4" s="22">
        <v>29050</v>
      </c>
      <c r="G4" s="22">
        <v>0</v>
      </c>
      <c r="H4" s="22">
        <v>0</v>
      </c>
      <c r="I4" s="22">
        <f>SUM(C4:H4)</f>
        <v>1233957.485182377</v>
      </c>
      <c r="J4" s="67"/>
      <c r="K4" s="50"/>
      <c r="L4" s="22">
        <v>768050</v>
      </c>
      <c r="M4" s="22">
        <v>0</v>
      </c>
      <c r="N4" s="22">
        <v>950874</v>
      </c>
      <c r="O4" s="22">
        <v>321490</v>
      </c>
      <c r="P4" s="22">
        <v>94901</v>
      </c>
      <c r="Q4" s="22">
        <f>SUM(L4:P4)</f>
        <v>2135315</v>
      </c>
      <c r="R4" s="23"/>
    </row>
    <row r="5" spans="1:18" ht="13.5" thickBot="1" x14ac:dyDescent="0.25">
      <c r="A5" s="88">
        <v>1</v>
      </c>
      <c r="B5" s="32" t="s">
        <v>90</v>
      </c>
      <c r="C5" s="24">
        <v>620142.5</v>
      </c>
      <c r="D5" s="24">
        <v>380729.78421408992</v>
      </c>
      <c r="E5" s="24">
        <v>0</v>
      </c>
      <c r="F5" s="24">
        <v>24000</v>
      </c>
      <c r="G5" s="24">
        <v>0</v>
      </c>
      <c r="H5" s="24">
        <v>0</v>
      </c>
      <c r="I5" s="24">
        <f>SUM(C5:H5)</f>
        <v>1024872.2842140899</v>
      </c>
      <c r="J5" s="67"/>
      <c r="K5" s="50"/>
      <c r="L5" s="24">
        <v>654288</v>
      </c>
      <c r="M5" s="24">
        <v>0</v>
      </c>
      <c r="N5" s="24">
        <v>0</v>
      </c>
      <c r="O5" s="24">
        <v>0</v>
      </c>
      <c r="P5" s="24">
        <v>0</v>
      </c>
      <c r="Q5" s="24">
        <f>SUM(L5:P5)</f>
        <v>654288</v>
      </c>
      <c r="R5" s="23"/>
    </row>
    <row r="6" spans="1:18" ht="13.5" thickTop="1" x14ac:dyDescent="0.2">
      <c r="A6" s="40"/>
      <c r="B6" s="45" t="s">
        <v>4</v>
      </c>
      <c r="C6" s="25">
        <f t="shared" ref="C6:H6" si="0">SUM(C3:C5)</f>
        <v>1294996</v>
      </c>
      <c r="D6" s="25">
        <f t="shared" si="0"/>
        <v>1005243.3587571096</v>
      </c>
      <c r="E6" s="22">
        <f t="shared" si="0"/>
        <v>0</v>
      </c>
      <c r="F6" s="25">
        <f t="shared" si="0"/>
        <v>53050</v>
      </c>
      <c r="G6" s="22">
        <f t="shared" si="0"/>
        <v>0</v>
      </c>
      <c r="H6" s="22">
        <f t="shared" si="0"/>
        <v>0</v>
      </c>
      <c r="I6" s="25">
        <f>SUM(C6:H6)</f>
        <v>2353289.3587571094</v>
      </c>
      <c r="J6" s="68"/>
      <c r="K6" s="50"/>
      <c r="L6" s="25">
        <f t="shared" ref="L6:P6" si="1">SUM(L3:L5)</f>
        <v>1517338</v>
      </c>
      <c r="M6" s="25">
        <f t="shared" si="1"/>
        <v>0</v>
      </c>
      <c r="N6" s="25">
        <f t="shared" si="1"/>
        <v>1047619</v>
      </c>
      <c r="O6" s="25">
        <f t="shared" si="1"/>
        <v>321490</v>
      </c>
      <c r="P6" s="25">
        <f t="shared" si="1"/>
        <v>94901</v>
      </c>
      <c r="Q6" s="25">
        <f>SUM(L6:P6)</f>
        <v>2981348</v>
      </c>
      <c r="R6" s="23"/>
    </row>
    <row r="7" spans="1:18" x14ac:dyDescent="0.2">
      <c r="A7" s="90"/>
      <c r="B7" s="72"/>
      <c r="C7" s="26"/>
      <c r="D7" s="26"/>
      <c r="E7" s="26"/>
      <c r="F7" s="26"/>
      <c r="G7" s="26"/>
      <c r="H7" s="26"/>
      <c r="I7" s="27"/>
      <c r="J7" s="69"/>
      <c r="K7" s="89"/>
      <c r="L7" s="26"/>
      <c r="M7" s="26"/>
      <c r="N7" s="26"/>
      <c r="O7" s="26"/>
      <c r="P7" s="26"/>
      <c r="Q7" s="27"/>
      <c r="R7" s="28"/>
    </row>
    <row r="8" spans="1:18" x14ac:dyDescent="0.2">
      <c r="A8" s="88">
        <v>2</v>
      </c>
      <c r="B8" s="32" t="s">
        <v>91</v>
      </c>
      <c r="C8" s="22">
        <v>773224</v>
      </c>
      <c r="D8" s="22">
        <v>658959.98662599956</v>
      </c>
      <c r="E8" s="22">
        <v>0</v>
      </c>
      <c r="F8" s="22">
        <v>69200</v>
      </c>
      <c r="G8" s="22">
        <v>0</v>
      </c>
      <c r="H8" s="22">
        <v>0</v>
      </c>
      <c r="I8" s="22">
        <f>SUM(C8:H8)</f>
        <v>1501383.9866259997</v>
      </c>
      <c r="J8" s="67"/>
      <c r="K8" s="50"/>
      <c r="L8" s="22">
        <v>1586668</v>
      </c>
      <c r="M8" s="22">
        <v>0</v>
      </c>
      <c r="N8" s="22">
        <v>303867</v>
      </c>
      <c r="O8" s="22">
        <v>1396009</v>
      </c>
      <c r="P8" s="22">
        <v>3100</v>
      </c>
      <c r="Q8" s="22">
        <f>SUM(L8:P8)</f>
        <v>3289644</v>
      </c>
      <c r="R8" s="23"/>
    </row>
    <row r="9" spans="1:18" x14ac:dyDescent="0.2">
      <c r="A9" s="88">
        <v>2</v>
      </c>
      <c r="B9" s="32" t="s">
        <v>92</v>
      </c>
      <c r="C9" s="22">
        <v>32500</v>
      </c>
      <c r="D9" s="22">
        <v>65801.743334998071</v>
      </c>
      <c r="E9" s="22">
        <v>0</v>
      </c>
      <c r="F9" s="22">
        <v>0</v>
      </c>
      <c r="G9" s="22">
        <v>0</v>
      </c>
      <c r="H9" s="22">
        <v>0</v>
      </c>
      <c r="I9" s="22">
        <f>SUM(C9:H9)</f>
        <v>98301.743334998071</v>
      </c>
      <c r="J9" s="67"/>
      <c r="K9" s="50"/>
      <c r="L9" s="22">
        <v>81726</v>
      </c>
      <c r="M9" s="22">
        <v>0</v>
      </c>
      <c r="N9" s="22">
        <v>0</v>
      </c>
      <c r="O9" s="22">
        <v>0</v>
      </c>
      <c r="P9" s="22">
        <v>0</v>
      </c>
      <c r="Q9" s="22">
        <f>SUM(L9:P9)</f>
        <v>81726</v>
      </c>
      <c r="R9" s="23"/>
    </row>
    <row r="10" spans="1:18" ht="13.5" thickBot="1" x14ac:dyDescent="0.25">
      <c r="A10" s="88">
        <v>2</v>
      </c>
      <c r="B10" s="32" t="s">
        <v>93</v>
      </c>
      <c r="C10" s="24">
        <v>50000</v>
      </c>
      <c r="D10" s="24">
        <v>93106.976667354189</v>
      </c>
      <c r="E10" s="24">
        <v>0</v>
      </c>
      <c r="F10" s="24">
        <v>0</v>
      </c>
      <c r="G10" s="24">
        <v>0</v>
      </c>
      <c r="H10" s="24">
        <v>0</v>
      </c>
      <c r="I10" s="24">
        <f>SUM(C10:H10)</f>
        <v>143106.97666735417</v>
      </c>
      <c r="J10" s="67"/>
      <c r="K10" s="50"/>
      <c r="L10" s="24">
        <v>130000</v>
      </c>
      <c r="M10" s="24">
        <v>0</v>
      </c>
      <c r="N10" s="24">
        <v>0</v>
      </c>
      <c r="O10" s="24">
        <v>0</v>
      </c>
      <c r="P10" s="24">
        <v>0</v>
      </c>
      <c r="Q10" s="24">
        <f>SUM(L10:P10)</f>
        <v>130000</v>
      </c>
      <c r="R10" s="23"/>
    </row>
    <row r="11" spans="1:18" ht="13.5" thickTop="1" x14ac:dyDescent="0.2">
      <c r="A11" s="40"/>
      <c r="B11" s="45" t="s">
        <v>4</v>
      </c>
      <c r="C11" s="25">
        <f t="shared" ref="C11:H11" si="2">SUM(C8:C10)</f>
        <v>855724</v>
      </c>
      <c r="D11" s="25">
        <f t="shared" si="2"/>
        <v>817868.70662835182</v>
      </c>
      <c r="E11" s="25">
        <f t="shared" si="2"/>
        <v>0</v>
      </c>
      <c r="F11" s="25">
        <f t="shared" si="2"/>
        <v>69200</v>
      </c>
      <c r="G11" s="25">
        <f t="shared" si="2"/>
        <v>0</v>
      </c>
      <c r="H11" s="25">
        <f t="shared" si="2"/>
        <v>0</v>
      </c>
      <c r="I11" s="25">
        <f>SUM(C11:H11)</f>
        <v>1742792.7066283519</v>
      </c>
      <c r="J11" s="68"/>
      <c r="K11" s="50"/>
      <c r="L11" s="25">
        <f t="shared" ref="L11:P11" si="3">SUM(L8:L10)</f>
        <v>1798394</v>
      </c>
      <c r="M11" s="25">
        <f t="shared" si="3"/>
        <v>0</v>
      </c>
      <c r="N11" s="25">
        <f t="shared" si="3"/>
        <v>303867</v>
      </c>
      <c r="O11" s="25">
        <f t="shared" si="3"/>
        <v>1396009</v>
      </c>
      <c r="P11" s="25">
        <f t="shared" si="3"/>
        <v>3100</v>
      </c>
      <c r="Q11" s="25">
        <f>SUM(L11:P11)</f>
        <v>3501370</v>
      </c>
      <c r="R11" s="23"/>
    </row>
    <row r="12" spans="1:18" s="5" customFormat="1" x14ac:dyDescent="0.2">
      <c r="A12" s="91"/>
      <c r="B12" s="26"/>
      <c r="C12" s="26"/>
      <c r="D12" s="26"/>
      <c r="E12" s="26"/>
      <c r="F12" s="26"/>
      <c r="G12" s="26"/>
      <c r="H12" s="26"/>
      <c r="I12" s="26"/>
      <c r="J12" s="26"/>
      <c r="K12" s="89"/>
      <c r="L12" s="26"/>
      <c r="M12" s="26"/>
      <c r="N12" s="26"/>
      <c r="O12" s="26"/>
      <c r="P12" s="26"/>
      <c r="Q12" s="26"/>
      <c r="R12" s="10"/>
    </row>
    <row r="13" spans="1:18" x14ac:dyDescent="0.2">
      <c r="A13" s="88">
        <v>3</v>
      </c>
      <c r="B13" s="32" t="s">
        <v>94</v>
      </c>
      <c r="C13" s="22">
        <v>75000</v>
      </c>
      <c r="D13" s="22">
        <v>143938.99832164991</v>
      </c>
      <c r="E13" s="22">
        <v>0</v>
      </c>
      <c r="F13" s="22">
        <v>0</v>
      </c>
      <c r="G13" s="22">
        <v>0</v>
      </c>
      <c r="H13" s="22">
        <v>0</v>
      </c>
      <c r="I13" s="22">
        <f>SUM(C13:H13)</f>
        <v>218938.99832164991</v>
      </c>
      <c r="J13" s="67"/>
      <c r="K13" s="92"/>
      <c r="L13" s="22">
        <v>0</v>
      </c>
      <c r="M13" s="22">
        <v>0</v>
      </c>
      <c r="N13" s="22">
        <v>0</v>
      </c>
      <c r="O13" s="22">
        <v>0</v>
      </c>
      <c r="P13" s="22">
        <v>0</v>
      </c>
      <c r="Q13" s="22">
        <f>SUM(L13:P13)</f>
        <v>0</v>
      </c>
      <c r="R13" s="23"/>
    </row>
    <row r="14" spans="1:18" x14ac:dyDescent="0.2">
      <c r="A14" s="88">
        <v>3</v>
      </c>
      <c r="B14" s="32" t="s">
        <v>95</v>
      </c>
      <c r="C14" s="22">
        <v>40000</v>
      </c>
      <c r="D14" s="22">
        <v>79108.619934863513</v>
      </c>
      <c r="E14" s="22">
        <v>0</v>
      </c>
      <c r="F14" s="22">
        <v>0</v>
      </c>
      <c r="G14" s="22">
        <v>0</v>
      </c>
      <c r="H14" s="22">
        <v>0</v>
      </c>
      <c r="I14" s="22">
        <f>SUM(C14:H14)</f>
        <v>119108.61993486351</v>
      </c>
      <c r="J14" s="67"/>
      <c r="K14" s="50"/>
      <c r="L14" s="22">
        <v>0</v>
      </c>
      <c r="M14" s="22">
        <v>0</v>
      </c>
      <c r="N14" s="22">
        <v>0</v>
      </c>
      <c r="O14" s="22">
        <v>0</v>
      </c>
      <c r="P14" s="22">
        <v>0</v>
      </c>
      <c r="Q14" s="22">
        <f>SUM(L14:P14)</f>
        <v>0</v>
      </c>
      <c r="R14" s="23"/>
    </row>
    <row r="15" spans="1:18" ht="25.5" x14ac:dyDescent="0.2">
      <c r="A15" s="88">
        <v>3</v>
      </c>
      <c r="B15" s="32" t="s">
        <v>96</v>
      </c>
      <c r="C15" s="22">
        <v>225000</v>
      </c>
      <c r="D15" s="22">
        <v>442283.86387724732</v>
      </c>
      <c r="E15" s="22">
        <v>0</v>
      </c>
      <c r="F15" s="22">
        <v>27500</v>
      </c>
      <c r="G15" s="22">
        <v>0</v>
      </c>
      <c r="H15" s="22">
        <v>0</v>
      </c>
      <c r="I15" s="22">
        <f>SUM(C15:H15)</f>
        <v>694783.86387724732</v>
      </c>
      <c r="J15" s="67"/>
      <c r="K15" s="50"/>
      <c r="L15" s="22">
        <v>1524215.87</v>
      </c>
      <c r="M15" s="22">
        <v>0</v>
      </c>
      <c r="N15" s="22">
        <v>107505</v>
      </c>
      <c r="O15" s="22">
        <v>272625.07</v>
      </c>
      <c r="P15" s="22">
        <v>0</v>
      </c>
      <c r="Q15" s="22">
        <f>SUM(L15:P15)</f>
        <v>1904345.9400000002</v>
      </c>
      <c r="R15" s="23" t="s">
        <v>57</v>
      </c>
    </row>
    <row r="16" spans="1:18" ht="13.5" thickBot="1" x14ac:dyDescent="0.25">
      <c r="A16" s="88">
        <v>3</v>
      </c>
      <c r="B16" s="32" t="s">
        <v>98</v>
      </c>
      <c r="C16" s="24">
        <v>31853</v>
      </c>
      <c r="D16" s="24">
        <v>141683.45598427713</v>
      </c>
      <c r="E16" s="24">
        <v>0</v>
      </c>
      <c r="F16" s="24">
        <v>0</v>
      </c>
      <c r="G16" s="24">
        <v>0</v>
      </c>
      <c r="H16" s="24">
        <v>0</v>
      </c>
      <c r="I16" s="24">
        <f>SUM(C16:H16)</f>
        <v>173536.45598427713</v>
      </c>
      <c r="J16" s="67"/>
      <c r="K16" s="50"/>
      <c r="L16" s="24">
        <v>0</v>
      </c>
      <c r="M16" s="24">
        <v>0</v>
      </c>
      <c r="N16" s="24">
        <v>0</v>
      </c>
      <c r="O16" s="24">
        <v>0</v>
      </c>
      <c r="P16" s="24">
        <v>0</v>
      </c>
      <c r="Q16" s="24">
        <f>SUM(L16:P16)</f>
        <v>0</v>
      </c>
      <c r="R16" s="23"/>
    </row>
    <row r="17" spans="1:18" ht="13.5" thickTop="1" x14ac:dyDescent="0.2">
      <c r="A17" s="40"/>
      <c r="B17" s="45" t="s">
        <v>4</v>
      </c>
      <c r="C17" s="25">
        <f t="shared" ref="C17:H17" si="4">SUM(C13:C16)</f>
        <v>371853</v>
      </c>
      <c r="D17" s="25">
        <f t="shared" si="4"/>
        <v>807014.938118038</v>
      </c>
      <c r="E17" s="25">
        <f t="shared" si="4"/>
        <v>0</v>
      </c>
      <c r="F17" s="25">
        <f t="shared" si="4"/>
        <v>27500</v>
      </c>
      <c r="G17" s="25">
        <f t="shared" si="4"/>
        <v>0</v>
      </c>
      <c r="H17" s="25">
        <f t="shared" si="4"/>
        <v>0</v>
      </c>
      <c r="I17" s="25">
        <f>SUM(C17:H17)</f>
        <v>1206367.938118038</v>
      </c>
      <c r="J17" s="68"/>
      <c r="K17" s="50"/>
      <c r="L17" s="25">
        <f t="shared" ref="L17:P17" si="5">SUM(L13:L16)</f>
        <v>1524215.87</v>
      </c>
      <c r="M17" s="25">
        <f t="shared" si="5"/>
        <v>0</v>
      </c>
      <c r="N17" s="25">
        <f t="shared" si="5"/>
        <v>107505</v>
      </c>
      <c r="O17" s="25">
        <f t="shared" si="5"/>
        <v>272625.07</v>
      </c>
      <c r="P17" s="25">
        <f t="shared" si="5"/>
        <v>0</v>
      </c>
      <c r="Q17" s="25">
        <f>SUM(L17:P17)</f>
        <v>1904345.9400000002</v>
      </c>
      <c r="R17" s="23"/>
    </row>
    <row r="18" spans="1:18" s="5" customFormat="1" x14ac:dyDescent="0.2">
      <c r="A18" s="91"/>
      <c r="B18" s="26"/>
      <c r="C18" s="26"/>
      <c r="D18" s="26"/>
      <c r="E18" s="26"/>
      <c r="F18" s="26"/>
      <c r="G18" s="26"/>
      <c r="H18" s="26"/>
      <c r="I18" s="26"/>
      <c r="J18" s="26"/>
      <c r="K18" s="89"/>
      <c r="L18" s="26"/>
      <c r="M18" s="26"/>
      <c r="N18" s="26"/>
      <c r="O18" s="26"/>
      <c r="P18" s="26"/>
      <c r="Q18" s="26"/>
      <c r="R18" s="10"/>
    </row>
    <row r="19" spans="1:18" x14ac:dyDescent="0.2">
      <c r="A19" s="88">
        <v>4</v>
      </c>
      <c r="B19" s="32" t="s">
        <v>99</v>
      </c>
      <c r="C19" s="22">
        <v>118527</v>
      </c>
      <c r="D19" s="22">
        <v>192354.95546492774</v>
      </c>
      <c r="E19" s="22">
        <v>0</v>
      </c>
      <c r="F19" s="22">
        <v>0</v>
      </c>
      <c r="G19" s="22">
        <v>0</v>
      </c>
      <c r="H19" s="22">
        <v>0</v>
      </c>
      <c r="I19" s="22">
        <f>SUM(C19:H19)</f>
        <v>310881.95546492771</v>
      </c>
      <c r="J19" s="67"/>
      <c r="K19" s="92"/>
      <c r="L19" s="306">
        <v>147178</v>
      </c>
      <c r="M19" s="306"/>
      <c r="N19" s="22">
        <v>0</v>
      </c>
      <c r="O19" s="22">
        <v>0</v>
      </c>
      <c r="P19" s="22">
        <v>0</v>
      </c>
      <c r="Q19" s="22">
        <f>SUM(L19:P19)</f>
        <v>147178</v>
      </c>
      <c r="R19" s="23"/>
    </row>
    <row r="20" spans="1:18" x14ac:dyDescent="0.2">
      <c r="A20" s="88">
        <v>4</v>
      </c>
      <c r="B20" s="32" t="s">
        <v>100</v>
      </c>
      <c r="C20" s="22">
        <v>210000</v>
      </c>
      <c r="D20" s="22">
        <v>282687.7796954402</v>
      </c>
      <c r="E20" s="22">
        <v>0</v>
      </c>
      <c r="F20" s="22">
        <v>0</v>
      </c>
      <c r="G20" s="22">
        <v>0</v>
      </c>
      <c r="H20" s="22">
        <v>0</v>
      </c>
      <c r="I20" s="22">
        <f>SUM(C20:H20)</f>
        <v>492687.7796954402</v>
      </c>
      <c r="J20" s="67"/>
      <c r="K20" s="50"/>
      <c r="L20" s="306">
        <v>137200</v>
      </c>
      <c r="M20" s="306"/>
      <c r="N20" s="22">
        <v>0</v>
      </c>
      <c r="O20" s="22">
        <v>0</v>
      </c>
      <c r="P20" s="22">
        <v>0</v>
      </c>
      <c r="Q20" s="22">
        <f>SUM(L20:P20)</f>
        <v>137200</v>
      </c>
      <c r="R20" s="23"/>
    </row>
    <row r="21" spans="1:18" x14ac:dyDescent="0.2">
      <c r="A21" s="88">
        <v>4</v>
      </c>
      <c r="B21" s="32" t="s">
        <v>101</v>
      </c>
      <c r="C21" s="22">
        <v>81000</v>
      </c>
      <c r="D21" s="22">
        <v>131965.69054899033</v>
      </c>
      <c r="E21" s="22">
        <v>0</v>
      </c>
      <c r="F21" s="22">
        <v>1000</v>
      </c>
      <c r="G21" s="22">
        <v>0</v>
      </c>
      <c r="H21" s="22">
        <v>0</v>
      </c>
      <c r="I21" s="22">
        <f>SUM(C21:H21)</f>
        <v>213965.69054899033</v>
      </c>
      <c r="J21" s="67"/>
      <c r="K21" s="50"/>
      <c r="L21" s="306">
        <v>90000</v>
      </c>
      <c r="M21" s="306"/>
      <c r="N21" s="22">
        <v>0</v>
      </c>
      <c r="O21" s="22">
        <v>0</v>
      </c>
      <c r="P21" s="22">
        <v>0</v>
      </c>
      <c r="Q21" s="22">
        <f>SUM(L21:P21)</f>
        <v>90000</v>
      </c>
      <c r="R21" s="23"/>
    </row>
    <row r="22" spans="1:18" ht="13.5" thickBot="1" x14ac:dyDescent="0.25">
      <c r="A22" s="88">
        <v>4</v>
      </c>
      <c r="B22" s="32" t="s">
        <v>102</v>
      </c>
      <c r="C22" s="24">
        <v>65362.5</v>
      </c>
      <c r="D22" s="24">
        <v>119086.87307884525</v>
      </c>
      <c r="E22" s="24">
        <v>0</v>
      </c>
      <c r="F22" s="24">
        <v>0</v>
      </c>
      <c r="G22" s="24">
        <v>0</v>
      </c>
      <c r="H22" s="24">
        <v>0</v>
      </c>
      <c r="I22" s="24">
        <f>SUM(C22:H22)</f>
        <v>184449.37307884527</v>
      </c>
      <c r="J22" s="67"/>
      <c r="K22" s="50"/>
      <c r="L22" s="308">
        <v>89000</v>
      </c>
      <c r="M22" s="308"/>
      <c r="N22" s="24">
        <v>0</v>
      </c>
      <c r="O22" s="24">
        <v>0</v>
      </c>
      <c r="P22" s="24">
        <v>0</v>
      </c>
      <c r="Q22" s="24">
        <f>SUM(L22:P22)</f>
        <v>89000</v>
      </c>
      <c r="R22" s="23"/>
    </row>
    <row r="23" spans="1:18" ht="64.5" thickTop="1" x14ac:dyDescent="0.2">
      <c r="A23" s="40"/>
      <c r="B23" s="45" t="s">
        <v>4</v>
      </c>
      <c r="C23" s="25">
        <f t="shared" ref="C23:H23" si="6">SUM(C19:C22)</f>
        <v>474889.5</v>
      </c>
      <c r="D23" s="25">
        <f t="shared" si="6"/>
        <v>726095.29878820339</v>
      </c>
      <c r="E23" s="25">
        <f t="shared" si="6"/>
        <v>0</v>
      </c>
      <c r="F23" s="25">
        <f t="shared" si="6"/>
        <v>1000</v>
      </c>
      <c r="G23" s="25">
        <f t="shared" si="6"/>
        <v>0</v>
      </c>
      <c r="H23" s="25">
        <f t="shared" si="6"/>
        <v>0</v>
      </c>
      <c r="I23" s="25">
        <f>SUM(C23:H23)</f>
        <v>1201984.7987882034</v>
      </c>
      <c r="J23" s="68"/>
      <c r="K23" s="50"/>
      <c r="L23" s="309">
        <f t="shared" ref="L23:P23" si="7">SUM(L19:L22)</f>
        <v>463378</v>
      </c>
      <c r="M23" s="309"/>
      <c r="N23" s="25"/>
      <c r="O23" s="25">
        <v>1791246</v>
      </c>
      <c r="P23" s="25">
        <f t="shared" si="7"/>
        <v>0</v>
      </c>
      <c r="Q23" s="25">
        <f>SUM(L23:P23)</f>
        <v>2254624</v>
      </c>
      <c r="R23" s="23" t="s">
        <v>155</v>
      </c>
    </row>
    <row r="24" spans="1:18" s="5" customFormat="1" x14ac:dyDescent="0.2">
      <c r="A24" s="91"/>
      <c r="B24" s="26"/>
      <c r="C24" s="26"/>
      <c r="D24" s="26"/>
      <c r="E24" s="26"/>
      <c r="F24" s="26"/>
      <c r="G24" s="26"/>
      <c r="H24" s="26"/>
      <c r="I24" s="26"/>
      <c r="J24" s="26"/>
      <c r="K24" s="89"/>
      <c r="L24" s="26"/>
      <c r="M24" s="26"/>
      <c r="N24" s="26"/>
      <c r="O24" s="26"/>
      <c r="P24" s="26"/>
      <c r="Q24" s="26"/>
      <c r="R24" s="10"/>
    </row>
    <row r="25" spans="1:18" x14ac:dyDescent="0.2">
      <c r="A25" s="88">
        <v>5</v>
      </c>
      <c r="B25" s="32" t="s">
        <v>105</v>
      </c>
      <c r="C25" s="22">
        <v>200000</v>
      </c>
      <c r="D25" s="22">
        <v>253941.96275344817</v>
      </c>
      <c r="E25" s="22">
        <v>0</v>
      </c>
      <c r="F25" s="22">
        <v>5000</v>
      </c>
      <c r="G25" s="22">
        <v>0</v>
      </c>
      <c r="H25" s="22">
        <v>0</v>
      </c>
      <c r="I25" s="22">
        <f>SUM(C25:H25)</f>
        <v>458941.96275344817</v>
      </c>
      <c r="J25" s="67"/>
      <c r="K25" s="92"/>
      <c r="L25" s="22">
        <v>320000</v>
      </c>
      <c r="M25" s="22">
        <v>215817</v>
      </c>
      <c r="N25" s="22">
        <v>1108884.95</v>
      </c>
      <c r="O25" s="22">
        <v>2495428.34</v>
      </c>
      <c r="P25" s="22">
        <v>0</v>
      </c>
      <c r="Q25" s="22">
        <f>SUM(L25:P25)</f>
        <v>4140130.29</v>
      </c>
      <c r="R25" s="23"/>
    </row>
    <row r="26" spans="1:18" ht="13.5" thickBot="1" x14ac:dyDescent="0.25">
      <c r="A26" s="88">
        <v>5</v>
      </c>
      <c r="B26" s="32" t="s">
        <v>106</v>
      </c>
      <c r="C26" s="24">
        <v>1567650</v>
      </c>
      <c r="D26" s="24">
        <v>1582600.4578269904</v>
      </c>
      <c r="E26" s="24">
        <v>0</v>
      </c>
      <c r="F26" s="24">
        <v>100000</v>
      </c>
      <c r="G26" s="24">
        <v>0</v>
      </c>
      <c r="H26" s="24">
        <v>20000</v>
      </c>
      <c r="I26" s="24">
        <f>SUM(C26:H26)</f>
        <v>3270250.4578269906</v>
      </c>
      <c r="J26" s="67" t="s">
        <v>156</v>
      </c>
      <c r="K26" s="50"/>
      <c r="L26" s="24">
        <v>4508211.0599999996</v>
      </c>
      <c r="M26" s="24"/>
      <c r="N26" s="24">
        <v>0</v>
      </c>
      <c r="O26" s="24">
        <v>0</v>
      </c>
      <c r="P26" s="24">
        <v>679135</v>
      </c>
      <c r="Q26" s="24">
        <f>SUM(L26:P26)</f>
        <v>5187346.0599999996</v>
      </c>
      <c r="R26" s="23"/>
    </row>
    <row r="27" spans="1:18" ht="13.5" thickTop="1" x14ac:dyDescent="0.2">
      <c r="A27" s="40"/>
      <c r="B27" s="45" t="s">
        <v>4</v>
      </c>
      <c r="C27" s="25">
        <f t="shared" ref="C27:H27" si="8">SUM(C25:C26)</f>
        <v>1767650</v>
      </c>
      <c r="D27" s="25">
        <f t="shared" si="8"/>
        <v>1836542.4205804386</v>
      </c>
      <c r="E27" s="25">
        <f t="shared" si="8"/>
        <v>0</v>
      </c>
      <c r="F27" s="25">
        <f t="shared" si="8"/>
        <v>105000</v>
      </c>
      <c r="G27" s="25">
        <f t="shared" si="8"/>
        <v>0</v>
      </c>
      <c r="H27" s="25">
        <f t="shared" si="8"/>
        <v>20000</v>
      </c>
      <c r="I27" s="25">
        <f>SUM(C27:H27)</f>
        <v>3729192.4205804383</v>
      </c>
      <c r="J27" s="68"/>
      <c r="K27" s="50"/>
      <c r="L27" s="25">
        <f t="shared" ref="L27:P27" si="9">SUM(L25:L26)</f>
        <v>4828211.0599999996</v>
      </c>
      <c r="M27" s="25">
        <f t="shared" si="9"/>
        <v>215817</v>
      </c>
      <c r="N27" s="25">
        <f t="shared" si="9"/>
        <v>1108884.95</v>
      </c>
      <c r="O27" s="25">
        <f t="shared" si="9"/>
        <v>2495428.34</v>
      </c>
      <c r="P27" s="25">
        <f t="shared" si="9"/>
        <v>679135</v>
      </c>
      <c r="Q27" s="25">
        <f>SUM(L27:P27)</f>
        <v>9327476.3499999996</v>
      </c>
      <c r="R27" s="23"/>
    </row>
    <row r="28" spans="1:18" s="5" customFormat="1" x14ac:dyDescent="0.2">
      <c r="A28" s="91"/>
      <c r="B28" s="26"/>
      <c r="C28" s="26"/>
      <c r="D28" s="26"/>
      <c r="E28" s="26"/>
      <c r="F28" s="26"/>
      <c r="G28" s="26"/>
      <c r="H28" s="26"/>
      <c r="I28" s="26"/>
      <c r="J28" s="26"/>
      <c r="K28" s="89"/>
      <c r="L28" s="26"/>
      <c r="M28" s="26"/>
      <c r="N28" s="26"/>
      <c r="O28" s="26"/>
      <c r="P28" s="26"/>
      <c r="Q28" s="26"/>
      <c r="R28" s="10"/>
    </row>
    <row r="29" spans="1:18" x14ac:dyDescent="0.2">
      <c r="A29" s="88">
        <v>6</v>
      </c>
      <c r="B29" s="32" t="s">
        <v>108</v>
      </c>
      <c r="C29" s="22">
        <v>105980</v>
      </c>
      <c r="D29" s="22">
        <v>136402.68806666892</v>
      </c>
      <c r="E29" s="22">
        <v>0</v>
      </c>
      <c r="F29" s="22">
        <v>4800</v>
      </c>
      <c r="G29" s="22">
        <v>0</v>
      </c>
      <c r="H29" s="22">
        <v>0</v>
      </c>
      <c r="I29" s="22">
        <f>SUM(C29:H29)</f>
        <v>247182.68806666892</v>
      </c>
      <c r="J29" s="67"/>
      <c r="K29" s="92"/>
      <c r="L29" s="22">
        <v>105980</v>
      </c>
      <c r="M29" s="22">
        <v>0</v>
      </c>
      <c r="N29" s="22">
        <v>62680</v>
      </c>
      <c r="O29" s="22">
        <v>1150695.6000000001</v>
      </c>
      <c r="P29" s="22">
        <v>288137.28999999998</v>
      </c>
      <c r="Q29" s="22">
        <f>SUM(L29:P29)</f>
        <v>1607492.8900000001</v>
      </c>
      <c r="R29" s="23"/>
    </row>
    <row r="30" spans="1:18" x14ac:dyDescent="0.2">
      <c r="A30" s="88">
        <v>6</v>
      </c>
      <c r="B30" s="32" t="s">
        <v>109</v>
      </c>
      <c r="C30" s="22">
        <v>64000</v>
      </c>
      <c r="D30" s="22">
        <v>98601.774149822581</v>
      </c>
      <c r="E30" s="22">
        <v>0</v>
      </c>
      <c r="F30" s="22">
        <v>3600</v>
      </c>
      <c r="G30" s="22">
        <v>0</v>
      </c>
      <c r="H30" s="22">
        <v>0</v>
      </c>
      <c r="I30" s="22">
        <f>SUM(C30:H30)</f>
        <v>166201.7741498226</v>
      </c>
      <c r="J30" s="67"/>
      <c r="K30" s="50"/>
      <c r="L30" s="22">
        <v>77000</v>
      </c>
      <c r="M30" s="22">
        <v>0</v>
      </c>
      <c r="N30" s="22">
        <v>15055</v>
      </c>
      <c r="O30" s="22">
        <v>0</v>
      </c>
      <c r="P30" s="22">
        <v>0</v>
      </c>
      <c r="Q30" s="22">
        <f>SUM(L30:P30)</f>
        <v>92055</v>
      </c>
      <c r="R30" s="23"/>
    </row>
    <row r="31" spans="1:18" ht="13.5" thickBot="1" x14ac:dyDescent="0.25">
      <c r="A31" s="88">
        <v>6</v>
      </c>
      <c r="B31" s="32" t="s">
        <v>110</v>
      </c>
      <c r="C31" s="24">
        <v>279885</v>
      </c>
      <c r="D31" s="24">
        <v>315496.04241660552</v>
      </c>
      <c r="E31" s="24">
        <v>0</v>
      </c>
      <c r="F31" s="24">
        <v>7500</v>
      </c>
      <c r="G31" s="24">
        <v>0</v>
      </c>
      <c r="H31" s="24">
        <v>0</v>
      </c>
      <c r="I31" s="24">
        <f>SUM(C31:H31)</f>
        <v>602881.04241660552</v>
      </c>
      <c r="J31" s="67"/>
      <c r="K31" s="50"/>
      <c r="L31" s="24">
        <v>343985</v>
      </c>
      <c r="M31" s="24">
        <v>0</v>
      </c>
      <c r="N31" s="24">
        <v>102814.7</v>
      </c>
      <c r="O31" s="24">
        <v>0</v>
      </c>
      <c r="P31" s="24">
        <v>0</v>
      </c>
      <c r="Q31" s="24">
        <f>SUM(L31:P31)</f>
        <v>446799.7</v>
      </c>
      <c r="R31" s="23"/>
    </row>
    <row r="32" spans="1:18" ht="13.5" thickTop="1" x14ac:dyDescent="0.2">
      <c r="A32" s="40"/>
      <c r="B32" s="45" t="s">
        <v>4</v>
      </c>
      <c r="C32" s="25">
        <f t="shared" ref="C32:H32" si="10">SUM(C29:C31)</f>
        <v>449865</v>
      </c>
      <c r="D32" s="25">
        <f t="shared" si="10"/>
        <v>550500.50463309698</v>
      </c>
      <c r="E32" s="25">
        <f t="shared" si="10"/>
        <v>0</v>
      </c>
      <c r="F32" s="25">
        <f t="shared" si="10"/>
        <v>15900</v>
      </c>
      <c r="G32" s="25">
        <f t="shared" si="10"/>
        <v>0</v>
      </c>
      <c r="H32" s="25">
        <f t="shared" si="10"/>
        <v>0</v>
      </c>
      <c r="I32" s="25">
        <f>SUM(C32:H32)</f>
        <v>1016265.504633097</v>
      </c>
      <c r="J32" s="68"/>
      <c r="K32" s="50"/>
      <c r="L32" s="25">
        <f t="shared" ref="L32:P32" si="11">SUM(L29:L31)</f>
        <v>526965</v>
      </c>
      <c r="M32" s="25">
        <f t="shared" si="11"/>
        <v>0</v>
      </c>
      <c r="N32" s="25">
        <f t="shared" si="11"/>
        <v>180549.7</v>
      </c>
      <c r="O32" s="25">
        <f t="shared" si="11"/>
        <v>1150695.6000000001</v>
      </c>
      <c r="P32" s="25">
        <f t="shared" si="11"/>
        <v>288137.28999999998</v>
      </c>
      <c r="Q32" s="25">
        <f>SUM(L32:P32)</f>
        <v>2146347.59</v>
      </c>
      <c r="R32" s="23"/>
    </row>
    <row r="33" spans="1:18" s="5" customFormat="1" x14ac:dyDescent="0.2">
      <c r="A33" s="91"/>
      <c r="B33" s="26"/>
      <c r="C33" s="26"/>
      <c r="D33" s="26"/>
      <c r="E33" s="26"/>
      <c r="F33" s="26"/>
      <c r="G33" s="26"/>
      <c r="H33" s="26"/>
      <c r="I33" s="26"/>
      <c r="J33" s="26"/>
      <c r="K33" s="89"/>
      <c r="L33" s="26"/>
      <c r="M33" s="26"/>
      <c r="N33" s="26"/>
      <c r="O33" s="26"/>
      <c r="P33" s="26"/>
      <c r="Q33" s="26"/>
      <c r="R33" s="10"/>
    </row>
    <row r="34" spans="1:18" x14ac:dyDescent="0.2">
      <c r="A34" s="88">
        <v>7</v>
      </c>
      <c r="B34" s="32" t="s">
        <v>111</v>
      </c>
      <c r="C34" s="22">
        <v>140000</v>
      </c>
      <c r="D34" s="22">
        <v>227785.0803556304</v>
      </c>
      <c r="E34" s="22">
        <v>0</v>
      </c>
      <c r="F34" s="22">
        <v>6000</v>
      </c>
      <c r="G34" s="22">
        <v>0</v>
      </c>
      <c r="H34" s="22">
        <v>0</v>
      </c>
      <c r="I34" s="22">
        <f>SUM(C34:H34)</f>
        <v>373785.08035563037</v>
      </c>
      <c r="J34" s="67"/>
      <c r="K34" s="92"/>
      <c r="L34" s="22">
        <v>0</v>
      </c>
      <c r="M34" s="22">
        <v>0</v>
      </c>
      <c r="N34" s="22">
        <v>0</v>
      </c>
      <c r="O34" s="22">
        <v>0</v>
      </c>
      <c r="P34" s="22">
        <v>0</v>
      </c>
      <c r="Q34" s="22">
        <f>SUM(L34:P34)</f>
        <v>0</v>
      </c>
      <c r="R34" s="23"/>
    </row>
    <row r="35" spans="1:18" ht="13.5" thickBot="1" x14ac:dyDescent="0.25">
      <c r="A35" s="88">
        <v>7</v>
      </c>
      <c r="B35" s="32" t="s">
        <v>112</v>
      </c>
      <c r="C35" s="24">
        <v>998035</v>
      </c>
      <c r="D35" s="24">
        <v>1170194.2980135919</v>
      </c>
      <c r="E35" s="24">
        <v>0</v>
      </c>
      <c r="F35" s="24">
        <v>0</v>
      </c>
      <c r="G35" s="24">
        <v>0</v>
      </c>
      <c r="H35" s="24">
        <v>0</v>
      </c>
      <c r="I35" s="24">
        <f>SUM(C35:H35)</f>
        <v>2168229.2980135921</v>
      </c>
      <c r="J35" s="67"/>
      <c r="K35" s="52"/>
      <c r="L35" s="24">
        <v>0</v>
      </c>
      <c r="M35" s="24">
        <v>0</v>
      </c>
      <c r="N35" s="24">
        <v>0</v>
      </c>
      <c r="O35" s="24">
        <v>0</v>
      </c>
      <c r="P35" s="24">
        <v>0</v>
      </c>
      <c r="Q35" s="24">
        <f>SUM(L35:P35)</f>
        <v>0</v>
      </c>
      <c r="R35" s="23"/>
    </row>
    <row r="36" spans="1:18" ht="102.75" thickTop="1" x14ac:dyDescent="0.2">
      <c r="A36" s="40"/>
      <c r="B36" s="45" t="s">
        <v>4</v>
      </c>
      <c r="C36" s="25">
        <f t="shared" ref="C36:H36" si="12">SUM(C34:C35)</f>
        <v>1138035</v>
      </c>
      <c r="D36" s="25">
        <f t="shared" si="12"/>
        <v>1397979.3783692224</v>
      </c>
      <c r="E36" s="25">
        <f t="shared" si="12"/>
        <v>0</v>
      </c>
      <c r="F36" s="25">
        <f t="shared" si="12"/>
        <v>6000</v>
      </c>
      <c r="G36" s="25">
        <f t="shared" si="12"/>
        <v>0</v>
      </c>
      <c r="H36" s="25">
        <f t="shared" si="12"/>
        <v>0</v>
      </c>
      <c r="I36" s="25">
        <f>SUM(C36:H36)</f>
        <v>2542014.3783692224</v>
      </c>
      <c r="J36" s="68"/>
      <c r="K36" s="52"/>
      <c r="L36" s="25">
        <f t="shared" ref="L36:P36" si="13">SUM(L34:L35)</f>
        <v>0</v>
      </c>
      <c r="M36" s="25">
        <f t="shared" si="13"/>
        <v>0</v>
      </c>
      <c r="N36" s="25">
        <v>1340720.26</v>
      </c>
      <c r="O36" s="25">
        <f t="shared" si="13"/>
        <v>0</v>
      </c>
      <c r="P36" s="25">
        <f t="shared" si="13"/>
        <v>0</v>
      </c>
      <c r="Q36" s="25">
        <f>SUM(L36:P36)</f>
        <v>1340720.26</v>
      </c>
      <c r="R36" s="23" t="s">
        <v>157</v>
      </c>
    </row>
    <row r="37" spans="1:18" s="5" customFormat="1" x14ac:dyDescent="0.2">
      <c r="A37" s="91"/>
      <c r="B37" s="26"/>
      <c r="C37" s="26"/>
      <c r="D37" s="26"/>
      <c r="E37" s="26"/>
      <c r="F37" s="26"/>
      <c r="G37" s="26"/>
      <c r="H37" s="26"/>
      <c r="I37" s="26"/>
      <c r="J37" s="26"/>
      <c r="K37" s="89"/>
      <c r="L37" s="26"/>
      <c r="M37" s="26"/>
      <c r="N37" s="26"/>
      <c r="O37" s="26"/>
      <c r="P37" s="26"/>
      <c r="Q37" s="26"/>
      <c r="R37" s="10"/>
    </row>
    <row r="38" spans="1:18" x14ac:dyDescent="0.2">
      <c r="A38" s="88">
        <v>8</v>
      </c>
      <c r="B38" s="32" t="s">
        <v>113</v>
      </c>
      <c r="C38" s="22">
        <v>26790</v>
      </c>
      <c r="D38" s="22">
        <v>104615.18173175992</v>
      </c>
      <c r="E38" s="22">
        <v>0</v>
      </c>
      <c r="F38" s="22">
        <v>2000</v>
      </c>
      <c r="G38" s="22">
        <v>0</v>
      </c>
      <c r="H38" s="22">
        <v>0</v>
      </c>
      <c r="I38" s="22">
        <f>SUM(C38:H38)</f>
        <v>133405.18173175992</v>
      </c>
      <c r="J38" s="67"/>
      <c r="K38" s="92"/>
      <c r="L38" s="22">
        <v>41200</v>
      </c>
      <c r="M38" s="22">
        <v>0</v>
      </c>
      <c r="N38" s="22">
        <v>0</v>
      </c>
      <c r="O38" s="22">
        <v>0</v>
      </c>
      <c r="P38" s="22">
        <v>0</v>
      </c>
      <c r="Q38" s="22">
        <f>SUM(L38:P38)</f>
        <v>41200</v>
      </c>
      <c r="R38" s="23"/>
    </row>
    <row r="39" spans="1:18" x14ac:dyDescent="0.2">
      <c r="A39" s="88">
        <v>8</v>
      </c>
      <c r="B39" s="32" t="s">
        <v>114</v>
      </c>
      <c r="C39" s="22">
        <v>126500</v>
      </c>
      <c r="D39" s="22">
        <v>286721.41380242078</v>
      </c>
      <c r="E39" s="22">
        <v>0</v>
      </c>
      <c r="F39" s="22">
        <v>0</v>
      </c>
      <c r="G39" s="22">
        <v>0</v>
      </c>
      <c r="H39" s="22">
        <v>0</v>
      </c>
      <c r="I39" s="22">
        <f>SUM(C39:H39)</f>
        <v>413221.41380242078</v>
      </c>
      <c r="J39" s="67"/>
      <c r="K39" s="50"/>
      <c r="L39" s="22">
        <v>357438</v>
      </c>
      <c r="M39" s="22">
        <v>0</v>
      </c>
      <c r="N39" s="22">
        <v>340751.15</v>
      </c>
      <c r="O39" s="22">
        <v>1689518.5</v>
      </c>
      <c r="P39" s="22">
        <v>241878</v>
      </c>
      <c r="Q39" s="22">
        <f>SUM(L39:P39)</f>
        <v>2629585.65</v>
      </c>
      <c r="R39" s="23"/>
    </row>
    <row r="40" spans="1:18" x14ac:dyDescent="0.2">
      <c r="A40" s="88">
        <v>8</v>
      </c>
      <c r="B40" s="32" t="s">
        <v>115</v>
      </c>
      <c r="C40" s="22">
        <v>62000</v>
      </c>
      <c r="D40" s="22">
        <v>273863.17609812767</v>
      </c>
      <c r="E40" s="22">
        <v>0</v>
      </c>
      <c r="F40" s="22">
        <v>4500</v>
      </c>
      <c r="G40" s="22">
        <v>0</v>
      </c>
      <c r="H40" s="22">
        <v>0</v>
      </c>
      <c r="I40" s="22">
        <f>SUM(C40:H40)</f>
        <v>340363.17609812767</v>
      </c>
      <c r="J40" s="67"/>
      <c r="K40" s="50"/>
      <c r="L40" s="22">
        <v>262000</v>
      </c>
      <c r="M40" s="22">
        <v>0</v>
      </c>
      <c r="N40" s="22">
        <v>0</v>
      </c>
      <c r="O40" s="22">
        <v>0</v>
      </c>
      <c r="P40" s="22">
        <v>0</v>
      </c>
      <c r="Q40" s="22">
        <f>SUM(L40:P40)</f>
        <v>262000</v>
      </c>
      <c r="R40" s="23"/>
    </row>
    <row r="41" spans="1:18" ht="13.5" thickBot="1" x14ac:dyDescent="0.25">
      <c r="A41" s="88">
        <v>8</v>
      </c>
      <c r="B41" s="32" t="s">
        <v>116</v>
      </c>
      <c r="C41" s="122">
        <v>87192</v>
      </c>
      <c r="D41" s="24">
        <v>154381.17151492508</v>
      </c>
      <c r="E41" s="24">
        <v>0</v>
      </c>
      <c r="F41" s="24">
        <v>0</v>
      </c>
      <c r="G41" s="24">
        <v>0</v>
      </c>
      <c r="H41" s="24">
        <v>0</v>
      </c>
      <c r="I41" s="24">
        <f>SUM(C41:H41)</f>
        <v>241573.17151492508</v>
      </c>
      <c r="J41" s="67"/>
      <c r="K41" s="50"/>
      <c r="L41" s="24">
        <v>121867</v>
      </c>
      <c r="M41" s="24">
        <v>0</v>
      </c>
      <c r="N41" s="24">
        <v>0</v>
      </c>
      <c r="O41" s="24">
        <v>0</v>
      </c>
      <c r="P41" s="24">
        <v>0</v>
      </c>
      <c r="Q41" s="24">
        <f>SUM(L41:P41)</f>
        <v>121867</v>
      </c>
      <c r="R41" s="23"/>
    </row>
    <row r="42" spans="1:18" ht="13.5" thickTop="1" x14ac:dyDescent="0.2">
      <c r="A42" s="40"/>
      <c r="B42" s="45" t="s">
        <v>4</v>
      </c>
      <c r="C42" s="25">
        <f t="shared" ref="C42:H42" si="14">SUM(C38:C41)</f>
        <v>302482</v>
      </c>
      <c r="D42" s="25">
        <f t="shared" si="14"/>
        <v>819580.94314723345</v>
      </c>
      <c r="E42" s="25">
        <f t="shared" si="14"/>
        <v>0</v>
      </c>
      <c r="F42" s="25">
        <f t="shared" si="14"/>
        <v>6500</v>
      </c>
      <c r="G42" s="25">
        <f t="shared" si="14"/>
        <v>0</v>
      </c>
      <c r="H42" s="25">
        <f t="shared" si="14"/>
        <v>0</v>
      </c>
      <c r="I42" s="25">
        <f>SUM(C42:H42)</f>
        <v>1128562.9431472335</v>
      </c>
      <c r="J42" s="71"/>
      <c r="K42" s="50"/>
      <c r="L42" s="25">
        <f t="shared" ref="L42:P42" si="15">SUM(L38:L41)</f>
        <v>782505</v>
      </c>
      <c r="M42" s="25">
        <f t="shared" si="15"/>
        <v>0</v>
      </c>
      <c r="N42" s="25">
        <f t="shared" si="15"/>
        <v>340751.15</v>
      </c>
      <c r="O42" s="25">
        <f t="shared" si="15"/>
        <v>1689518.5</v>
      </c>
      <c r="P42" s="25">
        <f t="shared" si="15"/>
        <v>241878</v>
      </c>
      <c r="Q42" s="25">
        <f>SUM(L42:P42)</f>
        <v>3054652.65</v>
      </c>
      <c r="R42" s="23"/>
    </row>
    <row r="43" spans="1:18" s="5" customFormat="1" x14ac:dyDescent="0.2">
      <c r="A43" s="91"/>
      <c r="B43" s="26"/>
      <c r="C43" s="26"/>
      <c r="D43" s="26"/>
      <c r="E43" s="26"/>
      <c r="F43" s="26"/>
      <c r="G43" s="26"/>
      <c r="H43" s="26"/>
      <c r="I43" s="26"/>
      <c r="J43" s="26"/>
      <c r="K43" s="93"/>
      <c r="L43" s="26"/>
      <c r="M43" s="26"/>
      <c r="N43" s="26"/>
      <c r="O43" s="26"/>
      <c r="P43" s="26"/>
      <c r="Q43" s="26"/>
      <c r="R43" s="10"/>
    </row>
    <row r="44" spans="1:18" s="29" customFormat="1" x14ac:dyDescent="0.2">
      <c r="A44" s="88">
        <v>9</v>
      </c>
      <c r="B44" s="32" t="s">
        <v>118</v>
      </c>
      <c r="C44" s="22">
        <v>475608.96</v>
      </c>
      <c r="D44" s="22">
        <v>731993.45968136995</v>
      </c>
      <c r="E44" s="22">
        <v>0</v>
      </c>
      <c r="F44" s="22">
        <v>0</v>
      </c>
      <c r="G44" s="22">
        <v>44920.94</v>
      </c>
      <c r="H44" s="22">
        <v>0</v>
      </c>
      <c r="I44" s="22">
        <f>SUM(C44:H44)</f>
        <v>1252523.35968137</v>
      </c>
      <c r="J44" s="67" t="s">
        <v>158</v>
      </c>
      <c r="K44" s="92"/>
      <c r="L44" s="22">
        <v>1446610.66</v>
      </c>
      <c r="M44" s="22">
        <v>0</v>
      </c>
      <c r="N44" s="22">
        <v>166352.51999999999</v>
      </c>
      <c r="O44" s="22">
        <v>227233.09</v>
      </c>
      <c r="P44" s="22">
        <v>0</v>
      </c>
      <c r="Q44" s="22">
        <f>SUM(L44:P44)</f>
        <v>1840196.27</v>
      </c>
      <c r="R44" s="23"/>
    </row>
    <row r="45" spans="1:18" s="29" customFormat="1" ht="13.5" thickBot="1" x14ac:dyDescent="0.25">
      <c r="A45" s="88">
        <v>9</v>
      </c>
      <c r="B45" s="32" t="s">
        <v>119</v>
      </c>
      <c r="C45" s="24">
        <v>3130000</v>
      </c>
      <c r="D45" s="24">
        <v>1441443.843848523</v>
      </c>
      <c r="E45" s="24">
        <v>0</v>
      </c>
      <c r="F45" s="24">
        <v>50000</v>
      </c>
      <c r="G45" s="24">
        <v>422097.56</v>
      </c>
      <c r="H45" s="24">
        <v>0</v>
      </c>
      <c r="I45" s="24">
        <f>SUM(C45:H45)</f>
        <v>5043541.4038485223</v>
      </c>
      <c r="J45" s="67" t="s">
        <v>158</v>
      </c>
      <c r="K45" s="52"/>
      <c r="L45" s="24">
        <v>5817221.1600000001</v>
      </c>
      <c r="M45" s="24">
        <v>4115.6400000000003</v>
      </c>
      <c r="N45" s="24">
        <v>730991.84</v>
      </c>
      <c r="O45" s="24">
        <v>2517520.8199999998</v>
      </c>
      <c r="P45" s="24">
        <v>670247</v>
      </c>
      <c r="Q45" s="24">
        <f>SUM(L45:P45)</f>
        <v>9740096.459999999</v>
      </c>
      <c r="R45" s="23"/>
    </row>
    <row r="46" spans="1:18" ht="13.5" thickTop="1" x14ac:dyDescent="0.2">
      <c r="A46" s="40"/>
      <c r="B46" s="45" t="s">
        <v>4</v>
      </c>
      <c r="C46" s="25">
        <f t="shared" ref="C46:I46" si="16">SUM(C44:C45)</f>
        <v>3605608.96</v>
      </c>
      <c r="D46" s="25">
        <f t="shared" si="16"/>
        <v>2173437.303529893</v>
      </c>
      <c r="E46" s="25">
        <f t="shared" si="16"/>
        <v>0</v>
      </c>
      <c r="F46" s="25">
        <f t="shared" si="16"/>
        <v>50000</v>
      </c>
      <c r="G46" s="25">
        <f t="shared" si="16"/>
        <v>467018.5</v>
      </c>
      <c r="H46" s="25">
        <f t="shared" si="16"/>
        <v>0</v>
      </c>
      <c r="I46" s="25">
        <f t="shared" si="16"/>
        <v>6296064.7635298921</v>
      </c>
      <c r="J46" s="71"/>
      <c r="K46" s="52"/>
      <c r="L46" s="25">
        <f t="shared" ref="L46:P46" si="17">SUM(L44:L45)</f>
        <v>7263831.8200000003</v>
      </c>
      <c r="M46" s="25">
        <f t="shared" si="17"/>
        <v>4115.6400000000003</v>
      </c>
      <c r="N46" s="25">
        <f t="shared" si="17"/>
        <v>897344.36</v>
      </c>
      <c r="O46" s="25">
        <f t="shared" si="17"/>
        <v>2744753.9099999997</v>
      </c>
      <c r="P46" s="25">
        <f t="shared" si="17"/>
        <v>670247</v>
      </c>
      <c r="Q46" s="25">
        <f>SUM(L46:P46)</f>
        <v>11580292.73</v>
      </c>
      <c r="R46" s="23"/>
    </row>
    <row r="47" spans="1:18" x14ac:dyDescent="0.2">
      <c r="A47" s="90"/>
      <c r="B47" s="72"/>
      <c r="C47" s="10"/>
      <c r="D47" s="10"/>
      <c r="E47" s="10"/>
      <c r="F47" s="10"/>
      <c r="G47" s="10"/>
      <c r="H47" s="10"/>
      <c r="I47" s="10"/>
      <c r="J47" s="72"/>
      <c r="K47" s="93"/>
      <c r="L47" s="10"/>
      <c r="M47" s="10"/>
      <c r="N47" s="10"/>
      <c r="O47" s="10"/>
      <c r="P47" s="10"/>
      <c r="Q47" s="10"/>
      <c r="R47" s="28"/>
    </row>
    <row r="48" spans="1:18" x14ac:dyDescent="0.2">
      <c r="A48" s="88">
        <v>10</v>
      </c>
      <c r="B48" s="32" t="s">
        <v>120</v>
      </c>
      <c r="C48" s="22">
        <v>338755</v>
      </c>
      <c r="D48" s="22">
        <v>770201.85296208481</v>
      </c>
      <c r="E48" s="22">
        <v>0</v>
      </c>
      <c r="F48" s="22">
        <v>49678</v>
      </c>
      <c r="G48" s="22">
        <v>0</v>
      </c>
      <c r="H48" s="22">
        <v>0</v>
      </c>
      <c r="I48" s="22">
        <f>SUM(C48:H48)</f>
        <v>1158634.8529620848</v>
      </c>
      <c r="J48" s="67"/>
      <c r="K48" s="94"/>
      <c r="L48" s="22">
        <v>1636636</v>
      </c>
      <c r="M48" s="22">
        <v>0</v>
      </c>
      <c r="N48" s="22">
        <v>264506</v>
      </c>
      <c r="O48" s="22">
        <v>1565473</v>
      </c>
      <c r="P48" s="22">
        <v>0</v>
      </c>
      <c r="Q48" s="22">
        <f>SUM(L48:P48)</f>
        <v>3466615</v>
      </c>
      <c r="R48" s="23"/>
    </row>
    <row r="49" spans="1:18" ht="26.25" thickBot="1" x14ac:dyDescent="0.25">
      <c r="A49" s="88">
        <v>10</v>
      </c>
      <c r="B49" s="32" t="s">
        <v>121</v>
      </c>
      <c r="C49" s="24">
        <v>200000</v>
      </c>
      <c r="D49" s="24">
        <v>305704.18982425169</v>
      </c>
      <c r="E49" s="24">
        <v>0</v>
      </c>
      <c r="F49" s="24">
        <v>5338</v>
      </c>
      <c r="G49" s="24">
        <v>459.37</v>
      </c>
      <c r="H49" s="24">
        <v>0</v>
      </c>
      <c r="I49" s="24">
        <f>SUM(C49:H49)</f>
        <v>511501.55982425169</v>
      </c>
      <c r="J49" s="67" t="s">
        <v>159</v>
      </c>
      <c r="K49" s="50"/>
      <c r="L49" s="24">
        <v>752947</v>
      </c>
      <c r="M49" s="24">
        <v>0</v>
      </c>
      <c r="N49" s="24">
        <v>116381</v>
      </c>
      <c r="O49" s="24">
        <v>0</v>
      </c>
      <c r="P49" s="24">
        <v>0</v>
      </c>
      <c r="Q49" s="24">
        <f>SUM(L49:P49)</f>
        <v>869328</v>
      </c>
      <c r="R49" s="23"/>
    </row>
    <row r="50" spans="1:18" ht="13.5" thickTop="1" x14ac:dyDescent="0.2">
      <c r="A50" s="40"/>
      <c r="B50" s="45" t="s">
        <v>4</v>
      </c>
      <c r="C50" s="25">
        <f t="shared" ref="C50:H50" si="18">SUM(C48:C49)</f>
        <v>538755</v>
      </c>
      <c r="D50" s="25">
        <f t="shared" si="18"/>
        <v>1075906.0427863365</v>
      </c>
      <c r="E50" s="25">
        <f t="shared" si="18"/>
        <v>0</v>
      </c>
      <c r="F50" s="25">
        <f t="shared" si="18"/>
        <v>55016</v>
      </c>
      <c r="G50" s="25">
        <f t="shared" si="18"/>
        <v>459.37</v>
      </c>
      <c r="H50" s="25">
        <f t="shared" si="18"/>
        <v>0</v>
      </c>
      <c r="I50" s="25">
        <f>SUM(C50:H50)</f>
        <v>1670136.4127863366</v>
      </c>
      <c r="J50" s="71"/>
      <c r="K50" s="50"/>
      <c r="L50" s="25">
        <f t="shared" ref="L50:P50" si="19">SUM(L48:L49)</f>
        <v>2389583</v>
      </c>
      <c r="M50" s="25">
        <f t="shared" si="19"/>
        <v>0</v>
      </c>
      <c r="N50" s="25">
        <f t="shared" si="19"/>
        <v>380887</v>
      </c>
      <c r="O50" s="25">
        <f t="shared" si="19"/>
        <v>1565473</v>
      </c>
      <c r="P50" s="25">
        <f t="shared" si="19"/>
        <v>0</v>
      </c>
      <c r="Q50" s="25">
        <f>SUM(L50:P50)</f>
        <v>4335943</v>
      </c>
      <c r="R50" s="23"/>
    </row>
    <row r="51" spans="1:18" x14ac:dyDescent="0.2">
      <c r="A51" s="90"/>
      <c r="B51" s="72"/>
      <c r="C51" s="10"/>
      <c r="D51" s="10"/>
      <c r="E51" s="10"/>
      <c r="F51" s="10"/>
      <c r="G51" s="10"/>
      <c r="H51" s="10"/>
      <c r="I51" s="10"/>
      <c r="J51" s="69"/>
      <c r="K51" s="93"/>
      <c r="L51" s="10"/>
      <c r="M51" s="10"/>
      <c r="N51" s="10"/>
      <c r="O51" s="10"/>
      <c r="P51" s="10"/>
      <c r="Q51" s="10"/>
      <c r="R51" s="28"/>
    </row>
    <row r="52" spans="1:18" x14ac:dyDescent="0.2">
      <c r="A52" s="88">
        <v>11</v>
      </c>
      <c r="B52" s="32" t="s">
        <v>122</v>
      </c>
      <c r="C52" s="22">
        <v>25000</v>
      </c>
      <c r="D52" s="22">
        <v>111068.99630292882</v>
      </c>
      <c r="E52" s="22">
        <v>0</v>
      </c>
      <c r="F52" s="22">
        <v>0</v>
      </c>
      <c r="G52" s="22">
        <v>0</v>
      </c>
      <c r="H52" s="22">
        <v>0</v>
      </c>
      <c r="I52" s="22">
        <f>SUM(C52:H52)</f>
        <v>136068.99630292883</v>
      </c>
      <c r="J52" s="67"/>
      <c r="K52" s="50"/>
      <c r="L52" s="22">
        <v>439929.32</v>
      </c>
      <c r="M52" s="22">
        <v>0</v>
      </c>
      <c r="N52" s="22">
        <v>3500</v>
      </c>
      <c r="O52" s="22">
        <v>0</v>
      </c>
      <c r="P52" s="22">
        <v>0</v>
      </c>
      <c r="Q52" s="22">
        <f>SUM(L52:P52)</f>
        <v>443429.32</v>
      </c>
      <c r="R52" s="23"/>
    </row>
    <row r="53" spans="1:18" x14ac:dyDescent="0.2">
      <c r="A53" s="88">
        <v>11</v>
      </c>
      <c r="B53" s="32" t="s">
        <v>123</v>
      </c>
      <c r="C53" s="22">
        <v>543532</v>
      </c>
      <c r="D53" s="22">
        <v>1079989.0683313615</v>
      </c>
      <c r="E53" s="22">
        <v>0</v>
      </c>
      <c r="F53" s="22">
        <v>400</v>
      </c>
      <c r="G53" s="22">
        <v>0</v>
      </c>
      <c r="H53" s="22">
        <v>0</v>
      </c>
      <c r="I53" s="22">
        <f>SUM(C53:H53)</f>
        <v>1623921.0683313615</v>
      </c>
      <c r="J53" s="67"/>
      <c r="K53" s="50"/>
      <c r="L53" s="22">
        <v>2535181.66</v>
      </c>
      <c r="M53" s="22">
        <v>0</v>
      </c>
      <c r="N53" s="22">
        <v>597508.24</v>
      </c>
      <c r="O53" s="22">
        <v>0</v>
      </c>
      <c r="P53" s="22">
        <v>31913</v>
      </c>
      <c r="Q53" s="22">
        <f>SUM(L53:P53)</f>
        <v>3164602.9000000004</v>
      </c>
      <c r="R53" s="23"/>
    </row>
    <row r="54" spans="1:18" x14ac:dyDescent="0.2">
      <c r="A54" s="88">
        <v>11</v>
      </c>
      <c r="B54" s="32" t="s">
        <v>124</v>
      </c>
      <c r="C54" s="22">
        <v>21000</v>
      </c>
      <c r="D54" s="22">
        <v>42118.548792583679</v>
      </c>
      <c r="E54" s="22">
        <v>0</v>
      </c>
      <c r="F54" s="22">
        <v>0</v>
      </c>
      <c r="G54" s="22">
        <v>0</v>
      </c>
      <c r="H54" s="22">
        <v>0</v>
      </c>
      <c r="I54" s="22">
        <f>SUM(C54:H54)</f>
        <v>63118.548792583679</v>
      </c>
      <c r="J54" s="67"/>
      <c r="K54" s="50"/>
      <c r="L54" s="22">
        <v>0</v>
      </c>
      <c r="M54" s="22">
        <v>0</v>
      </c>
      <c r="N54" s="22">
        <v>1050</v>
      </c>
      <c r="O54" s="22">
        <v>2088010.52</v>
      </c>
      <c r="P54" s="22">
        <v>0</v>
      </c>
      <c r="Q54" s="22">
        <f>SUM(L54:P54)</f>
        <v>2089060.52</v>
      </c>
      <c r="R54" s="23"/>
    </row>
    <row r="55" spans="1:18" ht="13.5" thickBot="1" x14ac:dyDescent="0.25">
      <c r="A55" s="88">
        <v>11</v>
      </c>
      <c r="B55" s="32" t="s">
        <v>125</v>
      </c>
      <c r="C55" s="24">
        <v>20000</v>
      </c>
      <c r="D55" s="24">
        <v>81804.569261467856</v>
      </c>
      <c r="E55" s="24">
        <v>0</v>
      </c>
      <c r="F55" s="24">
        <v>0</v>
      </c>
      <c r="G55" s="24">
        <v>0</v>
      </c>
      <c r="H55" s="24">
        <v>0</v>
      </c>
      <c r="I55" s="24">
        <f>SUM(C55:H55)</f>
        <v>101804.56926146786</v>
      </c>
      <c r="J55" s="67"/>
      <c r="K55" s="50"/>
      <c r="L55" s="24">
        <v>0</v>
      </c>
      <c r="M55" s="24">
        <v>0</v>
      </c>
      <c r="N55" s="24">
        <v>3700</v>
      </c>
      <c r="O55" s="24">
        <v>0</v>
      </c>
      <c r="P55" s="24">
        <v>0</v>
      </c>
      <c r="Q55" s="24">
        <f>SUM(L55:P55)</f>
        <v>3700</v>
      </c>
      <c r="R55" s="23"/>
    </row>
    <row r="56" spans="1:18" ht="13.5" thickTop="1" x14ac:dyDescent="0.2">
      <c r="A56" s="40"/>
      <c r="B56" s="45" t="s">
        <v>4</v>
      </c>
      <c r="C56" s="25">
        <f t="shared" ref="C56:H56" si="20">SUM(C52:C55)</f>
        <v>609532</v>
      </c>
      <c r="D56" s="25">
        <f t="shared" si="20"/>
        <v>1314981.1826883417</v>
      </c>
      <c r="E56" s="25">
        <f t="shared" si="20"/>
        <v>0</v>
      </c>
      <c r="F56" s="25">
        <f t="shared" si="20"/>
        <v>400</v>
      </c>
      <c r="G56" s="25">
        <f t="shared" si="20"/>
        <v>0</v>
      </c>
      <c r="H56" s="25">
        <f t="shared" si="20"/>
        <v>0</v>
      </c>
      <c r="I56" s="25">
        <f>SUM(C56:H56)</f>
        <v>1924913.1826883417</v>
      </c>
      <c r="J56" s="71"/>
      <c r="K56" s="50"/>
      <c r="L56" s="25">
        <f t="shared" ref="L56:P56" si="21">SUM(L52:L55)</f>
        <v>2975110.98</v>
      </c>
      <c r="M56" s="25">
        <f t="shared" si="21"/>
        <v>0</v>
      </c>
      <c r="N56" s="25">
        <f t="shared" si="21"/>
        <v>605758.24</v>
      </c>
      <c r="O56" s="25">
        <f t="shared" si="21"/>
        <v>2088010.52</v>
      </c>
      <c r="P56" s="25">
        <f t="shared" si="21"/>
        <v>31913</v>
      </c>
      <c r="Q56" s="25">
        <f>SUM(L56:P56)</f>
        <v>5700792.7400000002</v>
      </c>
      <c r="R56" s="23"/>
    </row>
    <row r="57" spans="1:18" x14ac:dyDescent="0.2">
      <c r="A57" s="90"/>
      <c r="B57" s="72"/>
      <c r="C57" s="10"/>
      <c r="D57" s="10"/>
      <c r="E57" s="10"/>
      <c r="F57" s="10"/>
      <c r="G57" s="10"/>
      <c r="H57" s="10"/>
      <c r="I57" s="10"/>
      <c r="J57" s="69"/>
      <c r="K57" s="93"/>
      <c r="L57" s="10"/>
      <c r="M57" s="10"/>
      <c r="N57" s="10"/>
      <c r="O57" s="10"/>
      <c r="P57" s="10"/>
      <c r="Q57" s="10"/>
      <c r="R57" s="28"/>
    </row>
    <row r="58" spans="1:18" ht="25.5" x14ac:dyDescent="0.2">
      <c r="A58" s="88">
        <v>12</v>
      </c>
      <c r="B58" s="32" t="s">
        <v>126</v>
      </c>
      <c r="C58" s="22">
        <v>447384</v>
      </c>
      <c r="D58" s="22">
        <v>563412.24972860515</v>
      </c>
      <c r="E58" s="22">
        <v>0</v>
      </c>
      <c r="F58" s="22">
        <v>3600</v>
      </c>
      <c r="G58" s="22">
        <v>20000</v>
      </c>
      <c r="H58" s="22">
        <v>0</v>
      </c>
      <c r="I58" s="22">
        <f>SUM(C58:H58)</f>
        <v>1034396.2497286052</v>
      </c>
      <c r="J58" s="67" t="s">
        <v>160</v>
      </c>
      <c r="K58" s="50"/>
      <c r="L58" s="22">
        <v>1116131</v>
      </c>
      <c r="M58" s="22">
        <v>0</v>
      </c>
      <c r="N58" s="22">
        <v>307338</v>
      </c>
      <c r="O58" s="22">
        <v>1320344</v>
      </c>
      <c r="P58" s="22">
        <v>139651</v>
      </c>
      <c r="Q58" s="22">
        <f>SUM(L58:P58)</f>
        <v>2883464</v>
      </c>
      <c r="R58" s="23"/>
    </row>
    <row r="59" spans="1:18" ht="13.5" thickBot="1" x14ac:dyDescent="0.25">
      <c r="A59" s="88">
        <v>12</v>
      </c>
      <c r="B59" s="32" t="s">
        <v>127</v>
      </c>
      <c r="C59" s="24">
        <v>65184</v>
      </c>
      <c r="D59" s="24">
        <v>136081.64371937863</v>
      </c>
      <c r="E59" s="24">
        <v>0</v>
      </c>
      <c r="F59" s="24">
        <v>0</v>
      </c>
      <c r="G59" s="24">
        <v>0</v>
      </c>
      <c r="H59" s="24">
        <v>0</v>
      </c>
      <c r="I59" s="24">
        <f>SUM(C59:H59)</f>
        <v>201265.64371937863</v>
      </c>
      <c r="J59" s="67"/>
      <c r="K59" s="52"/>
      <c r="L59" s="24">
        <v>35488</v>
      </c>
      <c r="M59" s="24">
        <v>0</v>
      </c>
      <c r="N59" s="24">
        <v>3800</v>
      </c>
      <c r="O59" s="24">
        <v>0</v>
      </c>
      <c r="P59" s="24">
        <v>0</v>
      </c>
      <c r="Q59" s="24">
        <f>SUM(L59:P59)</f>
        <v>39288</v>
      </c>
      <c r="R59" s="23"/>
    </row>
    <row r="60" spans="1:18" ht="13.5" thickTop="1" x14ac:dyDescent="0.2">
      <c r="A60" s="40"/>
      <c r="B60" s="45" t="s">
        <v>4</v>
      </c>
      <c r="C60" s="25">
        <f t="shared" ref="C60:H60" si="22">SUM(C58:C59)</f>
        <v>512568</v>
      </c>
      <c r="D60" s="25">
        <f t="shared" si="22"/>
        <v>699493.89344798378</v>
      </c>
      <c r="E60" s="25">
        <f t="shared" si="22"/>
        <v>0</v>
      </c>
      <c r="F60" s="25">
        <f t="shared" si="22"/>
        <v>3600</v>
      </c>
      <c r="G60" s="25">
        <f t="shared" si="22"/>
        <v>20000</v>
      </c>
      <c r="H60" s="25">
        <f t="shared" si="22"/>
        <v>0</v>
      </c>
      <c r="I60" s="25">
        <f>SUM(C60:H60)</f>
        <v>1235661.8934479838</v>
      </c>
      <c r="J60" s="71"/>
      <c r="K60" s="50"/>
      <c r="L60" s="25">
        <f t="shared" ref="L60:P60" si="23">SUM(L58:L59)</f>
        <v>1151619</v>
      </c>
      <c r="M60" s="25">
        <f t="shared" si="23"/>
        <v>0</v>
      </c>
      <c r="N60" s="25">
        <f t="shared" si="23"/>
        <v>311138</v>
      </c>
      <c r="O60" s="25">
        <f t="shared" si="23"/>
        <v>1320344</v>
      </c>
      <c r="P60" s="25">
        <f t="shared" si="23"/>
        <v>139651</v>
      </c>
      <c r="Q60" s="25">
        <f>SUM(L60:P60)</f>
        <v>2922752</v>
      </c>
      <c r="R60" s="23"/>
    </row>
    <row r="61" spans="1:18" x14ac:dyDescent="0.2">
      <c r="A61" s="90"/>
      <c r="B61" s="72"/>
      <c r="C61" s="10"/>
      <c r="D61" s="10"/>
      <c r="E61" s="10"/>
      <c r="F61" s="10"/>
      <c r="G61" s="10"/>
      <c r="H61" s="10"/>
      <c r="I61" s="10"/>
      <c r="J61" s="69"/>
      <c r="K61" s="93"/>
      <c r="L61" s="10"/>
      <c r="M61" s="10"/>
      <c r="N61" s="10"/>
      <c r="O61" s="10"/>
      <c r="P61" s="10"/>
      <c r="Q61" s="10"/>
      <c r="R61" s="28"/>
    </row>
    <row r="62" spans="1:18" x14ac:dyDescent="0.2">
      <c r="A62" s="88">
        <v>13</v>
      </c>
      <c r="B62" s="32" t="s">
        <v>128</v>
      </c>
      <c r="C62" s="22">
        <v>916630</v>
      </c>
      <c r="D62" s="22">
        <v>1857220.9693084697</v>
      </c>
      <c r="E62" s="22">
        <v>0</v>
      </c>
      <c r="F62" s="22">
        <v>40000</v>
      </c>
      <c r="G62" s="22">
        <v>0</v>
      </c>
      <c r="H62" s="22">
        <v>0</v>
      </c>
      <c r="I62" s="22">
        <f>SUM(C62:H62)</f>
        <v>2813850.9693084694</v>
      </c>
      <c r="J62" s="67"/>
      <c r="K62" s="50"/>
      <c r="L62" s="22">
        <v>6883194</v>
      </c>
      <c r="M62" s="22">
        <v>0</v>
      </c>
      <c r="N62" s="22">
        <v>0</v>
      </c>
      <c r="O62" s="22">
        <v>0</v>
      </c>
      <c r="P62" s="22">
        <v>0</v>
      </c>
      <c r="Q62" s="22">
        <f>SUM(L62:P62)</f>
        <v>6883194</v>
      </c>
      <c r="R62" s="23"/>
    </row>
    <row r="63" spans="1:18" ht="13.5" thickBot="1" x14ac:dyDescent="0.25">
      <c r="A63" s="88">
        <v>13</v>
      </c>
      <c r="B63" s="32" t="s">
        <v>130</v>
      </c>
      <c r="C63" s="24">
        <v>0</v>
      </c>
      <c r="D63" s="24">
        <v>490720.40078637697</v>
      </c>
      <c r="E63" s="24">
        <v>0</v>
      </c>
      <c r="F63" s="24">
        <v>0</v>
      </c>
      <c r="G63" s="24">
        <v>0</v>
      </c>
      <c r="H63" s="24">
        <v>0</v>
      </c>
      <c r="I63" s="24">
        <f>SUM(C63:H63)</f>
        <v>490720.40078637697</v>
      </c>
      <c r="J63" s="67"/>
      <c r="K63" s="50"/>
      <c r="L63" s="24">
        <v>953611</v>
      </c>
      <c r="M63" s="24">
        <v>0</v>
      </c>
      <c r="N63" s="24">
        <v>0</v>
      </c>
      <c r="O63" s="24">
        <v>0</v>
      </c>
      <c r="P63" s="24">
        <v>0</v>
      </c>
      <c r="Q63" s="24">
        <f>SUM(L63:P63)</f>
        <v>953611</v>
      </c>
      <c r="R63" s="23"/>
    </row>
    <row r="64" spans="1:18" ht="39" thickTop="1" x14ac:dyDescent="0.2">
      <c r="A64" s="40"/>
      <c r="B64" s="45" t="s">
        <v>4</v>
      </c>
      <c r="C64" s="25">
        <f t="shared" ref="C64:H64" si="24">SUM(C62:C63)</f>
        <v>916630</v>
      </c>
      <c r="D64" s="25">
        <f t="shared" si="24"/>
        <v>2347941.3700948465</v>
      </c>
      <c r="E64" s="25">
        <f t="shared" si="24"/>
        <v>0</v>
      </c>
      <c r="F64" s="25">
        <f t="shared" si="24"/>
        <v>40000</v>
      </c>
      <c r="G64" s="25">
        <f t="shared" si="24"/>
        <v>0</v>
      </c>
      <c r="H64" s="25">
        <f t="shared" si="24"/>
        <v>0</v>
      </c>
      <c r="I64" s="25">
        <f>SUM(C64:H64)</f>
        <v>3304571.3700948465</v>
      </c>
      <c r="J64" s="71"/>
      <c r="K64" s="50"/>
      <c r="L64" s="25">
        <f t="shared" ref="L64:P64" si="25">SUM(L62:L63)</f>
        <v>7836805</v>
      </c>
      <c r="M64" s="25">
        <f t="shared" si="25"/>
        <v>0</v>
      </c>
      <c r="N64" s="25">
        <f t="shared" si="25"/>
        <v>0</v>
      </c>
      <c r="O64" s="25">
        <f t="shared" si="25"/>
        <v>0</v>
      </c>
      <c r="P64" s="25">
        <f t="shared" si="25"/>
        <v>0</v>
      </c>
      <c r="Q64" s="25">
        <f>SUM(L64:P64)</f>
        <v>7836805</v>
      </c>
      <c r="R64" s="23" t="s">
        <v>161</v>
      </c>
    </row>
    <row r="65" spans="1:18" x14ac:dyDescent="0.2">
      <c r="A65" s="90"/>
      <c r="B65" s="72"/>
      <c r="C65" s="10"/>
      <c r="D65" s="10"/>
      <c r="E65" s="10"/>
      <c r="F65" s="10"/>
      <c r="G65" s="10"/>
      <c r="H65" s="10"/>
      <c r="I65" s="10"/>
      <c r="J65" s="69"/>
      <c r="K65" s="93"/>
      <c r="L65" s="10"/>
      <c r="M65" s="10"/>
      <c r="N65" s="10"/>
      <c r="O65" s="10"/>
      <c r="P65" s="10"/>
      <c r="Q65" s="10"/>
      <c r="R65" s="28"/>
    </row>
    <row r="66" spans="1:18" x14ac:dyDescent="0.2">
      <c r="A66" s="88">
        <v>14</v>
      </c>
      <c r="B66" s="32" t="s">
        <v>131</v>
      </c>
      <c r="C66" s="22">
        <v>20000</v>
      </c>
      <c r="D66" s="22">
        <v>42884.116082275897</v>
      </c>
      <c r="E66" s="22">
        <v>0</v>
      </c>
      <c r="F66" s="22">
        <v>0</v>
      </c>
      <c r="G66" s="22">
        <v>0</v>
      </c>
      <c r="H66" s="22">
        <v>0</v>
      </c>
      <c r="I66" s="22">
        <f t="shared" ref="I66:I71" si="26">SUM(C66:H66)</f>
        <v>62884.116082275897</v>
      </c>
      <c r="J66" s="67"/>
      <c r="K66" s="50"/>
      <c r="L66" s="22">
        <v>20000</v>
      </c>
      <c r="M66" s="22">
        <v>0</v>
      </c>
      <c r="N66" s="22">
        <v>6668.25</v>
      </c>
      <c r="O66" s="22">
        <v>0</v>
      </c>
      <c r="P66" s="22">
        <v>0</v>
      </c>
      <c r="Q66" s="22">
        <f t="shared" ref="Q66:Q71" si="27">SUM(L66:P66)</f>
        <v>26668.25</v>
      </c>
      <c r="R66" s="23"/>
    </row>
    <row r="67" spans="1:18" x14ac:dyDescent="0.2">
      <c r="A67" s="88">
        <v>14</v>
      </c>
      <c r="B67" s="32" t="s">
        <v>132</v>
      </c>
      <c r="C67" s="22">
        <v>699293</v>
      </c>
      <c r="D67" s="22">
        <v>667743.43069160823</v>
      </c>
      <c r="E67" s="22">
        <v>0</v>
      </c>
      <c r="F67" s="22">
        <v>0</v>
      </c>
      <c r="G67" s="22">
        <v>0</v>
      </c>
      <c r="H67" s="22">
        <v>0</v>
      </c>
      <c r="I67" s="22">
        <f t="shared" si="26"/>
        <v>1367036.4306916082</v>
      </c>
      <c r="J67" s="67"/>
      <c r="K67" s="50"/>
      <c r="L67" s="22">
        <v>1245000</v>
      </c>
      <c r="M67" s="22">
        <v>98500</v>
      </c>
      <c r="N67" s="22">
        <v>254871.53</v>
      </c>
      <c r="O67" s="22">
        <v>1711344.21</v>
      </c>
      <c r="P67" s="22">
        <v>187006.73</v>
      </c>
      <c r="Q67" s="22">
        <f t="shared" si="27"/>
        <v>3496722.47</v>
      </c>
      <c r="R67" s="23"/>
    </row>
    <row r="68" spans="1:18" x14ac:dyDescent="0.2">
      <c r="A68" s="88">
        <v>14</v>
      </c>
      <c r="B68" s="32" t="s">
        <v>133</v>
      </c>
      <c r="C68" s="22">
        <v>235000</v>
      </c>
      <c r="D68" s="22">
        <v>160077.65070274251</v>
      </c>
      <c r="E68" s="22">
        <v>0</v>
      </c>
      <c r="F68" s="22">
        <v>0</v>
      </c>
      <c r="G68" s="22">
        <v>0</v>
      </c>
      <c r="H68" s="22">
        <v>0</v>
      </c>
      <c r="I68" s="22">
        <f t="shared" si="26"/>
        <v>395077.65070274251</v>
      </c>
      <c r="J68" s="67"/>
      <c r="K68" s="50"/>
      <c r="L68" s="22">
        <v>229512</v>
      </c>
      <c r="M68" s="22">
        <v>0</v>
      </c>
      <c r="N68" s="22">
        <v>46609.15</v>
      </c>
      <c r="O68" s="22">
        <v>0</v>
      </c>
      <c r="P68" s="22">
        <v>0</v>
      </c>
      <c r="Q68" s="22">
        <f t="shared" si="27"/>
        <v>276121.15000000002</v>
      </c>
      <c r="R68" s="23"/>
    </row>
    <row r="69" spans="1:18" x14ac:dyDescent="0.2">
      <c r="A69" s="88">
        <v>14</v>
      </c>
      <c r="B69" s="32" t="s">
        <v>134</v>
      </c>
      <c r="C69" s="22">
        <v>47500</v>
      </c>
      <c r="D69" s="22">
        <v>86805.452363489661</v>
      </c>
      <c r="E69" s="22">
        <v>0</v>
      </c>
      <c r="F69" s="22">
        <v>0</v>
      </c>
      <c r="G69" s="22">
        <v>0</v>
      </c>
      <c r="H69" s="22">
        <v>0</v>
      </c>
      <c r="I69" s="22">
        <f t="shared" si="26"/>
        <v>134305.45236348966</v>
      </c>
      <c r="J69" s="67"/>
      <c r="K69" s="50"/>
      <c r="L69" s="22">
        <v>87540</v>
      </c>
      <c r="M69" s="22">
        <v>0</v>
      </c>
      <c r="N69" s="22">
        <v>36517.72</v>
      </c>
      <c r="O69" s="22">
        <v>0</v>
      </c>
      <c r="P69" s="22">
        <v>0</v>
      </c>
      <c r="Q69" s="22">
        <f t="shared" si="27"/>
        <v>124057.72</v>
      </c>
      <c r="R69" s="23"/>
    </row>
    <row r="70" spans="1:18" ht="13.5" thickBot="1" x14ac:dyDescent="0.25">
      <c r="A70" s="88">
        <v>14</v>
      </c>
      <c r="B70" s="32" t="s">
        <v>135</v>
      </c>
      <c r="C70" s="24">
        <v>119000</v>
      </c>
      <c r="D70" s="24">
        <v>101980.97170271139</v>
      </c>
      <c r="E70" s="24">
        <v>0</v>
      </c>
      <c r="F70" s="24">
        <v>0</v>
      </c>
      <c r="G70" s="24">
        <v>0</v>
      </c>
      <c r="H70" s="24">
        <v>0</v>
      </c>
      <c r="I70" s="24">
        <f t="shared" si="26"/>
        <v>220980.97170271139</v>
      </c>
      <c r="J70" s="67"/>
      <c r="K70" s="50"/>
      <c r="L70" s="24">
        <v>198712.5</v>
      </c>
      <c r="M70" s="24">
        <v>55000</v>
      </c>
      <c r="N70" s="24">
        <v>38591.01</v>
      </c>
      <c r="O70" s="24">
        <v>0</v>
      </c>
      <c r="P70" s="24">
        <v>0</v>
      </c>
      <c r="Q70" s="24">
        <f t="shared" si="27"/>
        <v>292303.51</v>
      </c>
      <c r="R70" s="23"/>
    </row>
    <row r="71" spans="1:18" ht="13.5" thickTop="1" x14ac:dyDescent="0.2">
      <c r="A71" s="40"/>
      <c r="B71" s="45" t="s">
        <v>4</v>
      </c>
      <c r="C71" s="25">
        <f t="shared" ref="C71:H71" si="28">SUM(C66:C70)</f>
        <v>1120793</v>
      </c>
      <c r="D71" s="25">
        <f t="shared" si="28"/>
        <v>1059491.6215428277</v>
      </c>
      <c r="E71" s="25">
        <f t="shared" si="28"/>
        <v>0</v>
      </c>
      <c r="F71" s="25">
        <f t="shared" si="28"/>
        <v>0</v>
      </c>
      <c r="G71" s="25">
        <f t="shared" si="28"/>
        <v>0</v>
      </c>
      <c r="H71" s="25">
        <f t="shared" si="28"/>
        <v>0</v>
      </c>
      <c r="I71" s="25">
        <f t="shared" si="26"/>
        <v>2180284.6215428277</v>
      </c>
      <c r="J71" s="71"/>
      <c r="K71" s="50"/>
      <c r="L71" s="25">
        <f t="shared" ref="L71:P71" si="29">SUM(L66:L70)</f>
        <v>1780764.5</v>
      </c>
      <c r="M71" s="25">
        <f t="shared" si="29"/>
        <v>153500</v>
      </c>
      <c r="N71" s="25">
        <f t="shared" si="29"/>
        <v>383257.66000000003</v>
      </c>
      <c r="O71" s="25">
        <f t="shared" si="29"/>
        <v>1711344.21</v>
      </c>
      <c r="P71" s="25">
        <f t="shared" si="29"/>
        <v>187006.73</v>
      </c>
      <c r="Q71" s="25">
        <f t="shared" si="27"/>
        <v>4215873.1000000006</v>
      </c>
      <c r="R71" s="23"/>
    </row>
    <row r="72" spans="1:18" x14ac:dyDescent="0.2">
      <c r="A72" s="90"/>
      <c r="B72" s="72"/>
      <c r="C72" s="10"/>
      <c r="D72" s="10"/>
      <c r="E72" s="10"/>
      <c r="F72" s="10"/>
      <c r="G72" s="10"/>
      <c r="H72" s="10"/>
      <c r="I72" s="10"/>
      <c r="J72" s="69"/>
      <c r="K72" s="93"/>
      <c r="L72" s="10"/>
      <c r="M72" s="10"/>
      <c r="N72" s="10"/>
      <c r="O72" s="10"/>
      <c r="P72" s="10"/>
      <c r="Q72" s="10"/>
      <c r="R72" s="28"/>
    </row>
    <row r="73" spans="1:18" x14ac:dyDescent="0.2">
      <c r="A73" s="88">
        <v>15</v>
      </c>
      <c r="B73" s="32" t="s">
        <v>136</v>
      </c>
      <c r="C73" s="22">
        <v>126100</v>
      </c>
      <c r="D73" s="22">
        <v>247607.51082422055</v>
      </c>
      <c r="E73" s="22">
        <v>0</v>
      </c>
      <c r="F73" s="22">
        <v>0</v>
      </c>
      <c r="G73" s="22">
        <v>0</v>
      </c>
      <c r="H73" s="22">
        <v>0</v>
      </c>
      <c r="I73" s="22">
        <f>SUM(C73:H73)</f>
        <v>373707.51082422055</v>
      </c>
      <c r="J73" s="67"/>
      <c r="K73" s="50"/>
      <c r="L73" s="22">
        <v>1106153</v>
      </c>
      <c r="M73" s="22">
        <v>0</v>
      </c>
      <c r="N73" s="22">
        <v>0</v>
      </c>
      <c r="O73" s="22">
        <v>0</v>
      </c>
      <c r="P73" s="22">
        <v>0</v>
      </c>
      <c r="Q73" s="22">
        <f>SUM(L73:P73)</f>
        <v>1106153</v>
      </c>
      <c r="R73" s="23"/>
    </row>
    <row r="74" spans="1:18" ht="13.5" thickBot="1" x14ac:dyDescent="0.25">
      <c r="A74" s="88">
        <v>15</v>
      </c>
      <c r="B74" s="32" t="s">
        <v>137</v>
      </c>
      <c r="C74" s="24">
        <v>1092214</v>
      </c>
      <c r="D74" s="24">
        <v>1108389.1452070409</v>
      </c>
      <c r="E74" s="24">
        <v>0</v>
      </c>
      <c r="F74" s="24">
        <v>0</v>
      </c>
      <c r="G74" s="24">
        <v>0</v>
      </c>
      <c r="H74" s="24">
        <v>0</v>
      </c>
      <c r="I74" s="24">
        <f>SUM(C74:H74)</f>
        <v>2200603.1452070409</v>
      </c>
      <c r="J74" s="67"/>
      <c r="K74" s="50"/>
      <c r="L74" s="24">
        <v>4073607.98</v>
      </c>
      <c r="M74" s="24">
        <v>970895.68</v>
      </c>
      <c r="N74" s="24">
        <v>53738.85</v>
      </c>
      <c r="O74" s="24">
        <v>1390049.27</v>
      </c>
      <c r="P74" s="24">
        <v>876199</v>
      </c>
      <c r="Q74" s="24">
        <f>SUM(L74:P74)</f>
        <v>7364490.7799999993</v>
      </c>
      <c r="R74" s="23"/>
    </row>
    <row r="75" spans="1:18" ht="13.5" thickTop="1" x14ac:dyDescent="0.2">
      <c r="A75" s="40"/>
      <c r="B75" s="45" t="s">
        <v>4</v>
      </c>
      <c r="C75" s="25">
        <f t="shared" ref="C75:H75" si="30">SUM(C73:C74)</f>
        <v>1218314</v>
      </c>
      <c r="D75" s="25">
        <f t="shared" si="30"/>
        <v>1355996.6560312614</v>
      </c>
      <c r="E75" s="25">
        <f t="shared" si="30"/>
        <v>0</v>
      </c>
      <c r="F75" s="25">
        <f t="shared" si="30"/>
        <v>0</v>
      </c>
      <c r="G75" s="25">
        <f t="shared" si="30"/>
        <v>0</v>
      </c>
      <c r="H75" s="25">
        <f t="shared" si="30"/>
        <v>0</v>
      </c>
      <c r="I75" s="25">
        <f>SUM(C75:H75)</f>
        <v>2574310.6560312612</v>
      </c>
      <c r="J75" s="71"/>
      <c r="K75" s="50"/>
      <c r="L75" s="25">
        <f t="shared" ref="L75:P75" si="31">SUM(L73:L74)</f>
        <v>5179760.9800000004</v>
      </c>
      <c r="M75" s="25">
        <f t="shared" si="31"/>
        <v>970895.68</v>
      </c>
      <c r="N75" s="25">
        <f t="shared" si="31"/>
        <v>53738.85</v>
      </c>
      <c r="O75" s="25">
        <f t="shared" si="31"/>
        <v>1390049.27</v>
      </c>
      <c r="P75" s="25">
        <f t="shared" si="31"/>
        <v>876199</v>
      </c>
      <c r="Q75" s="25">
        <f>SUM(L75:P75)</f>
        <v>8470643.7799999993</v>
      </c>
      <c r="R75" s="23"/>
    </row>
    <row r="76" spans="1:18" x14ac:dyDescent="0.2">
      <c r="A76" s="90"/>
      <c r="B76" s="72"/>
      <c r="C76" s="10"/>
      <c r="D76" s="10"/>
      <c r="E76" s="10"/>
      <c r="F76" s="10"/>
      <c r="G76" s="10"/>
      <c r="H76" s="10"/>
      <c r="I76" s="10"/>
      <c r="J76" s="69"/>
      <c r="K76" s="93"/>
      <c r="L76" s="10"/>
      <c r="M76" s="10"/>
      <c r="N76" s="10"/>
      <c r="O76" s="10"/>
      <c r="P76" s="10"/>
      <c r="Q76" s="10"/>
      <c r="R76" s="28"/>
    </row>
    <row r="77" spans="1:18" x14ac:dyDescent="0.2">
      <c r="A77" s="88">
        <v>16</v>
      </c>
      <c r="B77" s="32" t="s">
        <v>138</v>
      </c>
      <c r="C77" s="22">
        <v>110410</v>
      </c>
      <c r="D77" s="22">
        <v>119202.11976761612</v>
      </c>
      <c r="E77" s="22">
        <v>0</v>
      </c>
      <c r="F77" s="22">
        <v>0</v>
      </c>
      <c r="G77" s="22">
        <v>0</v>
      </c>
      <c r="H77" s="22">
        <v>0</v>
      </c>
      <c r="I77" s="22">
        <f>SUM(C77:H77)</f>
        <v>229612.11976761612</v>
      </c>
      <c r="J77" s="67"/>
      <c r="K77" s="50"/>
      <c r="L77" s="22">
        <v>252840</v>
      </c>
      <c r="M77" s="22">
        <v>0</v>
      </c>
      <c r="N77" s="22">
        <v>20015</v>
      </c>
      <c r="O77" s="22">
        <v>196391</v>
      </c>
      <c r="P77" s="22">
        <v>0</v>
      </c>
      <c r="Q77" s="22">
        <f>SUM(L77:P77)</f>
        <v>469246</v>
      </c>
      <c r="R77" s="23"/>
    </row>
    <row r="78" spans="1:18" ht="13.5" thickBot="1" x14ac:dyDescent="0.25">
      <c r="A78" s="88">
        <v>16</v>
      </c>
      <c r="B78" s="32" t="s">
        <v>139</v>
      </c>
      <c r="C78" s="24">
        <v>1353464.98</v>
      </c>
      <c r="D78" s="24">
        <v>930505.88108919852</v>
      </c>
      <c r="E78" s="24">
        <v>0</v>
      </c>
      <c r="F78" s="24">
        <v>76353</v>
      </c>
      <c r="G78" s="24">
        <v>0</v>
      </c>
      <c r="H78" s="24">
        <v>0</v>
      </c>
      <c r="I78" s="24">
        <f>SUM(C78:H78)</f>
        <v>2360323.8610891984</v>
      </c>
      <c r="J78" s="67"/>
      <c r="K78" s="50"/>
      <c r="L78" s="24">
        <v>4583693</v>
      </c>
      <c r="M78" s="24">
        <v>40000</v>
      </c>
      <c r="N78" s="24">
        <v>519315</v>
      </c>
      <c r="O78" s="24">
        <v>1572892</v>
      </c>
      <c r="P78" s="24">
        <v>0</v>
      </c>
      <c r="Q78" s="24">
        <f>SUM(L78:P78)</f>
        <v>6715900</v>
      </c>
      <c r="R78" s="23"/>
    </row>
    <row r="79" spans="1:18" ht="13.5" thickTop="1" x14ac:dyDescent="0.2">
      <c r="A79" s="40"/>
      <c r="B79" s="45" t="s">
        <v>4</v>
      </c>
      <c r="C79" s="68">
        <f>SUM(C77:C78)</f>
        <v>1463874.98</v>
      </c>
      <c r="D79" s="68">
        <f>SUM(D77:D78)</f>
        <v>1049708.0008568147</v>
      </c>
      <c r="E79" s="25">
        <v>0</v>
      </c>
      <c r="F79" s="25">
        <f>SUM(F78:F78)</f>
        <v>76353</v>
      </c>
      <c r="G79" s="25">
        <v>0</v>
      </c>
      <c r="H79" s="25">
        <v>0</v>
      </c>
      <c r="I79" s="25">
        <f>SUM(C79:H79)</f>
        <v>2589935.9808568144</v>
      </c>
      <c r="J79" s="71"/>
      <c r="K79" s="50"/>
      <c r="L79" s="25">
        <f t="shared" ref="L79:P79" si="32">SUM(L77:L78)</f>
        <v>4836533</v>
      </c>
      <c r="M79" s="25">
        <f t="shared" si="32"/>
        <v>40000</v>
      </c>
      <c r="N79" s="25">
        <f t="shared" si="32"/>
        <v>539330</v>
      </c>
      <c r="O79" s="25">
        <f t="shared" si="32"/>
        <v>1769283</v>
      </c>
      <c r="P79" s="25">
        <f t="shared" si="32"/>
        <v>0</v>
      </c>
      <c r="Q79" s="25">
        <f>SUM(L79:P79)</f>
        <v>7185146</v>
      </c>
      <c r="R79" s="23"/>
    </row>
    <row r="80" spans="1:18" x14ac:dyDescent="0.2">
      <c r="A80" s="95"/>
      <c r="B80" s="95"/>
      <c r="C80" s="30"/>
      <c r="D80" s="30"/>
      <c r="E80" s="27"/>
      <c r="F80" s="31"/>
      <c r="G80" s="27"/>
      <c r="H80" s="27"/>
      <c r="I80" s="31"/>
      <c r="J80" s="69"/>
      <c r="K80" s="93"/>
      <c r="L80" s="30"/>
      <c r="M80" s="31"/>
      <c r="N80" s="27"/>
      <c r="O80" s="27"/>
      <c r="P80" s="27"/>
      <c r="Q80" s="31"/>
      <c r="R80" s="28"/>
    </row>
    <row r="81" spans="1:18" x14ac:dyDescent="0.2">
      <c r="A81" s="88"/>
      <c r="B81" s="32"/>
      <c r="C81" s="32"/>
      <c r="D81" s="32"/>
      <c r="E81" s="32"/>
      <c r="F81" s="22"/>
      <c r="G81" s="32"/>
      <c r="H81" s="32"/>
      <c r="I81" s="32"/>
      <c r="J81" s="67"/>
      <c r="K81" s="52"/>
      <c r="L81" s="32"/>
      <c r="M81" s="22"/>
      <c r="N81" s="32"/>
      <c r="O81" s="32"/>
      <c r="P81" s="32"/>
      <c r="Q81" s="32"/>
      <c r="R81" s="23"/>
    </row>
    <row r="82" spans="1:18" x14ac:dyDescent="0.2">
      <c r="A82" s="88"/>
      <c r="B82" s="87" t="s">
        <v>48</v>
      </c>
      <c r="C82" s="34">
        <f t="shared" ref="C82:H82" si="33">C79+C75+C71+C64+C60+C56+C50+C46+C42+C36+C32+C27+C23+C17+C11+C6</f>
        <v>16641570.440000001</v>
      </c>
      <c r="D82" s="34">
        <f>D79+D75+D71+D64+D60+D56+D50+D46+D42+D36+D32+D27+D23+D17+D11+D6</f>
        <v>19037781.619999997</v>
      </c>
      <c r="E82" s="34">
        <f t="shared" si="33"/>
        <v>0</v>
      </c>
      <c r="F82" s="34">
        <f t="shared" si="33"/>
        <v>509519</v>
      </c>
      <c r="G82" s="34">
        <f t="shared" si="33"/>
        <v>487477.87</v>
      </c>
      <c r="H82" s="34">
        <f t="shared" si="33"/>
        <v>20000</v>
      </c>
      <c r="I82" s="34">
        <f>SUM(C82:H82)</f>
        <v>36696348.93</v>
      </c>
      <c r="J82" s="34"/>
      <c r="K82" s="50"/>
      <c r="L82" s="34">
        <f t="shared" ref="L82:P82" si="34">L79+L75+L71+L64+L60+L56+L50+L46+L42+L36+L32+L27+L23+L17+L11+L6</f>
        <v>44855015.210000001</v>
      </c>
      <c r="M82" s="34">
        <f>M79+M75+M71+M64+M60+M56+M50+M46+M42+M36+M32+M27+M23+M17+M11+M6</f>
        <v>1384328.32</v>
      </c>
      <c r="N82" s="34">
        <f>N79+N75+N71+N64+N60+N56+N50+N46+N42+N36+N32+N27+N23+N17+N11+N6</f>
        <v>7601351.1699999999</v>
      </c>
      <c r="O82" s="34">
        <f t="shared" si="34"/>
        <v>21706270.420000002</v>
      </c>
      <c r="P82" s="34">
        <f t="shared" si="34"/>
        <v>3212168.02</v>
      </c>
      <c r="Q82" s="25">
        <f>SUM(L82:P82)</f>
        <v>78759133.140000001</v>
      </c>
      <c r="R82" s="23"/>
    </row>
    <row r="83" spans="1:18" x14ac:dyDescent="0.2">
      <c r="K83" s="33"/>
      <c r="M83" s="1"/>
    </row>
    <row r="86" spans="1:18" x14ac:dyDescent="0.2">
      <c r="C86" s="61"/>
      <c r="D86" s="61"/>
    </row>
    <row r="87" spans="1:18" x14ac:dyDescent="0.2">
      <c r="D87" s="61"/>
    </row>
    <row r="90" spans="1:18" x14ac:dyDescent="0.2">
      <c r="C90" s="61"/>
    </row>
  </sheetData>
  <mergeCells count="5">
    <mergeCell ref="L19:M19"/>
    <mergeCell ref="L20:M20"/>
    <mergeCell ref="L21:M21"/>
    <mergeCell ref="L22:M22"/>
    <mergeCell ref="L23:M23"/>
  </mergeCells>
  <pageMargins left="0.7" right="0.7" top="0.75" bottom="0.75" header="0.3" footer="0.3"/>
  <pageSetup paperSize="5" scale="64" fitToHeight="0" orientation="landscape" r:id="rId1"/>
  <headerFooter>
    <oddHeader>&amp;CFY 16-17 Combined Revenue Details - Indigent Defense and Solicitor's Offices</oddHeader>
    <oddFooter>&amp;LData and analysis based on reports submitted by Commission on Indigent Defense and Commission on Prosecution Coordination pursuant to FY15-16 Proviso 117.110 and FY16-17 Proviso 117.109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workbookViewId="0">
      <selection activeCell="B31" sqref="B31:R34"/>
    </sheetView>
  </sheetViews>
  <sheetFormatPr defaultRowHeight="15" x14ac:dyDescent="0.2"/>
  <cols>
    <col min="1" max="1" width="20.28515625" style="257" customWidth="1"/>
    <col min="2" max="2" width="16.85546875" style="247" bestFit="1" customWidth="1"/>
    <col min="3" max="10" width="15.7109375" style="247" bestFit="1" customWidth="1"/>
    <col min="11" max="11" width="16.85546875" style="247" bestFit="1" customWidth="1"/>
    <col min="12" max="14" width="15.7109375" style="247" bestFit="1" customWidth="1"/>
    <col min="15" max="15" width="16.85546875" style="247" bestFit="1" customWidth="1"/>
    <col min="16" max="18" width="15.7109375" style="247" bestFit="1" customWidth="1"/>
    <col min="19" max="16384" width="9.140625" style="247"/>
  </cols>
  <sheetData>
    <row r="1" spans="1:18" ht="15.75" x14ac:dyDescent="0.2">
      <c r="A1" s="245" t="s">
        <v>189</v>
      </c>
      <c r="B1" s="225" t="s">
        <v>213</v>
      </c>
      <c r="C1" s="246"/>
      <c r="D1" s="246"/>
      <c r="E1" s="246"/>
      <c r="F1" s="246"/>
      <c r="G1" s="246"/>
      <c r="H1" s="246"/>
      <c r="I1" s="246"/>
      <c r="J1" s="246"/>
      <c r="K1" s="246"/>
      <c r="L1" s="246"/>
      <c r="M1" s="246"/>
      <c r="N1" s="246"/>
      <c r="O1" s="246"/>
      <c r="P1" s="246"/>
      <c r="Q1" s="246"/>
      <c r="R1" s="246"/>
    </row>
    <row r="2" spans="1:18" ht="15.75" x14ac:dyDescent="0.2">
      <c r="A2" s="245" t="s">
        <v>191</v>
      </c>
      <c r="B2" s="229" t="s">
        <v>192</v>
      </c>
      <c r="C2" s="246"/>
      <c r="D2" s="246"/>
      <c r="E2" s="246"/>
      <c r="F2" s="246"/>
      <c r="G2" s="246"/>
      <c r="H2" s="246"/>
      <c r="I2" s="246"/>
      <c r="J2" s="246"/>
      <c r="K2" s="246"/>
      <c r="L2" s="246"/>
      <c r="M2" s="246"/>
      <c r="N2" s="246"/>
      <c r="O2" s="246"/>
      <c r="P2" s="246"/>
      <c r="Q2" s="246"/>
      <c r="R2" s="246"/>
    </row>
    <row r="3" spans="1:18" ht="15.75" x14ac:dyDescent="0.25">
      <c r="A3" s="248" t="s">
        <v>79</v>
      </c>
      <c r="B3" s="249"/>
      <c r="C3" s="250">
        <v>1</v>
      </c>
      <c r="D3" s="250">
        <v>2</v>
      </c>
      <c r="E3" s="250">
        <v>3</v>
      </c>
      <c r="F3" s="250">
        <v>4</v>
      </c>
      <c r="G3" s="250">
        <v>5</v>
      </c>
      <c r="H3" s="250">
        <v>6</v>
      </c>
      <c r="I3" s="250">
        <v>7</v>
      </c>
      <c r="J3" s="250">
        <v>8</v>
      </c>
      <c r="K3" s="250">
        <v>9</v>
      </c>
      <c r="L3" s="250">
        <v>10</v>
      </c>
      <c r="M3" s="250">
        <v>11</v>
      </c>
      <c r="N3" s="250">
        <v>12</v>
      </c>
      <c r="O3" s="250">
        <v>13</v>
      </c>
      <c r="P3" s="250">
        <v>14</v>
      </c>
      <c r="Q3" s="250">
        <v>15</v>
      </c>
      <c r="R3" s="250">
        <v>16</v>
      </c>
    </row>
    <row r="4" spans="1:18" ht="78.75" x14ac:dyDescent="0.2">
      <c r="A4" s="248" t="s">
        <v>193</v>
      </c>
      <c r="B4" s="251" t="s">
        <v>48</v>
      </c>
      <c r="C4" s="252" t="s">
        <v>194</v>
      </c>
      <c r="D4" s="252" t="s">
        <v>195</v>
      </c>
      <c r="E4" s="252" t="s">
        <v>196</v>
      </c>
      <c r="F4" s="252" t="s">
        <v>197</v>
      </c>
      <c r="G4" s="252" t="s">
        <v>198</v>
      </c>
      <c r="H4" s="252" t="s">
        <v>199</v>
      </c>
      <c r="I4" s="252" t="s">
        <v>200</v>
      </c>
      <c r="J4" s="252" t="s">
        <v>201</v>
      </c>
      <c r="K4" s="252" t="s">
        <v>202</v>
      </c>
      <c r="L4" s="252" t="s">
        <v>203</v>
      </c>
      <c r="M4" s="252" t="s">
        <v>204</v>
      </c>
      <c r="N4" s="252" t="s">
        <v>205</v>
      </c>
      <c r="O4" s="252" t="s">
        <v>206</v>
      </c>
      <c r="P4" s="252" t="s">
        <v>207</v>
      </c>
      <c r="Q4" s="252" t="s">
        <v>208</v>
      </c>
      <c r="R4" s="252" t="s">
        <v>209</v>
      </c>
    </row>
    <row r="5" spans="1:18" ht="31.5" x14ac:dyDescent="0.25">
      <c r="A5" s="253" t="s">
        <v>210</v>
      </c>
      <c r="B5" s="274">
        <v>70837004.719999999</v>
      </c>
      <c r="C5" s="275">
        <v>2444962</v>
      </c>
      <c r="D5" s="275">
        <v>2903223</v>
      </c>
      <c r="E5" s="275">
        <v>1818796.81</v>
      </c>
      <c r="F5" s="275">
        <v>2219253</v>
      </c>
      <c r="G5" s="275">
        <v>7886529.7199999997</v>
      </c>
      <c r="H5" s="275">
        <v>1510239.34</v>
      </c>
      <c r="I5" s="275">
        <v>3983824.09</v>
      </c>
      <c r="J5" s="275">
        <v>2187822.6100000003</v>
      </c>
      <c r="K5" s="275">
        <v>10434914.489999998</v>
      </c>
      <c r="L5" s="275">
        <v>3495066.2800000003</v>
      </c>
      <c r="M5" s="275" t="s">
        <v>214</v>
      </c>
      <c r="N5" s="275">
        <v>2527036</v>
      </c>
      <c r="O5" s="275">
        <v>11582308.35</v>
      </c>
      <c r="P5" s="275">
        <v>3583802.63</v>
      </c>
      <c r="Q5" s="275">
        <v>8097803.4000000004</v>
      </c>
      <c r="R5" s="275">
        <v>6161423</v>
      </c>
    </row>
    <row r="6" spans="1:18" ht="15.75" x14ac:dyDescent="0.25">
      <c r="A6" s="253" t="s">
        <v>80</v>
      </c>
      <c r="B6" s="276">
        <v>0.60562163363024812</v>
      </c>
      <c r="C6" s="277">
        <v>0.59810254719705258</v>
      </c>
      <c r="D6" s="277">
        <v>0.5677703710669143</v>
      </c>
      <c r="E6" s="277">
        <v>0.26582353638502365</v>
      </c>
      <c r="F6" s="277">
        <v>0.20879908689996138</v>
      </c>
      <c r="G6" s="277">
        <v>0.5494553186062171</v>
      </c>
      <c r="H6" s="277">
        <v>0.33768157568985058</v>
      </c>
      <c r="I6" s="277">
        <v>0.95148204447952922</v>
      </c>
      <c r="J6" s="277">
        <v>0.35766382357662896</v>
      </c>
      <c r="K6" s="277">
        <v>0.67538326420919248</v>
      </c>
      <c r="L6" s="277">
        <v>0.65075405093605254</v>
      </c>
      <c r="M6" s="277"/>
      <c r="N6" s="277">
        <v>0.44167593971751884</v>
      </c>
      <c r="O6" s="277">
        <v>0.66538692867730465</v>
      </c>
      <c r="P6" s="277">
        <v>0.49723776222576188</v>
      </c>
      <c r="Q6" s="277">
        <v>0.60788423191405216</v>
      </c>
      <c r="R6" s="277">
        <v>0.74287611806558318</v>
      </c>
    </row>
    <row r="7" spans="1:18" ht="15.75" x14ac:dyDescent="0.25">
      <c r="A7" s="253" t="s">
        <v>81</v>
      </c>
      <c r="B7" s="276">
        <v>0.21987138913572063</v>
      </c>
      <c r="C7" s="277">
        <v>0.13149079617597328</v>
      </c>
      <c r="D7" s="277">
        <v>0.31442951505964234</v>
      </c>
      <c r="E7" s="277">
        <v>0.6708120463439784</v>
      </c>
      <c r="F7" s="277">
        <v>0.70033925829997756</v>
      </c>
      <c r="G7" s="277">
        <v>0.19737502618578862</v>
      </c>
      <c r="H7" s="277">
        <v>0.45261139866744565</v>
      </c>
      <c r="I7" s="277">
        <v>0</v>
      </c>
      <c r="J7" s="277">
        <v>0.41217808330447775</v>
      </c>
      <c r="K7" s="277">
        <v>0.18295667605418015</v>
      </c>
      <c r="L7" s="277">
        <v>0.21342018727038273</v>
      </c>
      <c r="M7" s="277"/>
      <c r="N7" s="277">
        <v>0.36652663436531968</v>
      </c>
      <c r="O7" s="277">
        <v>0.15607772003410703</v>
      </c>
      <c r="P7" s="277">
        <v>0.29277153022235486</v>
      </c>
      <c r="Q7" s="277">
        <v>0.11968209922211744</v>
      </c>
      <c r="R7" s="277">
        <v>0.16506479103934268</v>
      </c>
    </row>
    <row r="8" spans="1:18" ht="15.75" x14ac:dyDescent="0.25">
      <c r="A8" s="253" t="s">
        <v>82</v>
      </c>
      <c r="B8" s="276">
        <v>0.13596912232626654</v>
      </c>
      <c r="C8" s="277">
        <v>0.24046345096570007</v>
      </c>
      <c r="D8" s="277">
        <v>0.10075009739176082</v>
      </c>
      <c r="E8" s="277">
        <v>6.3364417270997966E-2</v>
      </c>
      <c r="F8" s="277">
        <v>9.0861654800061101E-2</v>
      </c>
      <c r="G8" s="277">
        <v>0.15988464568925762</v>
      </c>
      <c r="H8" s="277">
        <v>8.8091864962278082E-2</v>
      </c>
      <c r="I8" s="277">
        <v>1.8396143590767834E-2</v>
      </c>
      <c r="J8" s="277">
        <v>0.18311223138881444</v>
      </c>
      <c r="K8" s="277">
        <v>9.216881182128403E-2</v>
      </c>
      <c r="L8" s="277">
        <v>0.13582576179356462</v>
      </c>
      <c r="M8" s="277"/>
      <c r="N8" s="277">
        <v>0.17775409610310261</v>
      </c>
      <c r="O8" s="277">
        <v>0.16820580415647457</v>
      </c>
      <c r="P8" s="277">
        <v>0.1123351427419428</v>
      </c>
      <c r="Q8" s="277">
        <v>0.22015257742612027</v>
      </c>
      <c r="R8" s="277">
        <v>8.8813087496183912E-2</v>
      </c>
    </row>
    <row r="9" spans="1:18" ht="15.75" x14ac:dyDescent="0.25">
      <c r="A9" s="254" t="s">
        <v>183</v>
      </c>
      <c r="B9" s="276">
        <v>8.3401945400607275E-3</v>
      </c>
      <c r="C9" s="277">
        <v>0</v>
      </c>
      <c r="D9" s="277">
        <v>0</v>
      </c>
      <c r="E9" s="277">
        <v>0</v>
      </c>
      <c r="F9" s="277">
        <v>0</v>
      </c>
      <c r="G9" s="277">
        <v>2.7365268078898459E-2</v>
      </c>
      <c r="H9" s="277">
        <v>0</v>
      </c>
      <c r="I9" s="277">
        <v>0</v>
      </c>
      <c r="J9" s="277">
        <v>0</v>
      </c>
      <c r="K9" s="277">
        <v>1.7584178593494159E-2</v>
      </c>
      <c r="L9" s="277">
        <v>0</v>
      </c>
      <c r="M9" s="277"/>
      <c r="N9" s="277">
        <v>1.4043329814058841E-2</v>
      </c>
      <c r="O9" s="277">
        <v>0</v>
      </c>
      <c r="P9" s="277">
        <v>3.7948518387018432E-2</v>
      </c>
      <c r="Q9" s="277">
        <v>0</v>
      </c>
      <c r="R9" s="277">
        <v>3.2460033988901591E-3</v>
      </c>
    </row>
    <row r="10" spans="1:18" ht="15.75" x14ac:dyDescent="0.25">
      <c r="A10" s="253" t="s">
        <v>86</v>
      </c>
      <c r="B10" s="276">
        <v>3.0197660367703928E-2</v>
      </c>
      <c r="C10" s="277">
        <v>2.9943205661274081E-2</v>
      </c>
      <c r="D10" s="277">
        <v>1.7050016481682598E-2</v>
      </c>
      <c r="E10" s="277">
        <v>0</v>
      </c>
      <c r="F10" s="277">
        <v>0</v>
      </c>
      <c r="G10" s="277">
        <v>6.5919741439838253E-2</v>
      </c>
      <c r="H10" s="277">
        <v>0.12161516068042566</v>
      </c>
      <c r="I10" s="277">
        <v>3.0121811929702952E-2</v>
      </c>
      <c r="J10" s="277">
        <v>4.7045861730078742E-2</v>
      </c>
      <c r="K10" s="277">
        <v>3.1907069321849328E-2</v>
      </c>
      <c r="L10" s="277">
        <v>0</v>
      </c>
      <c r="M10" s="277"/>
      <c r="N10" s="277">
        <v>0</v>
      </c>
      <c r="O10" s="277">
        <v>1.0329547132113781E-2</v>
      </c>
      <c r="P10" s="277">
        <v>5.970704642292201E-2</v>
      </c>
      <c r="Q10" s="277">
        <v>5.2281091437710127E-2</v>
      </c>
      <c r="R10" s="277">
        <v>0</v>
      </c>
    </row>
    <row r="11" spans="1:18" ht="15.75" x14ac:dyDescent="0.25">
      <c r="A11" s="253" t="s">
        <v>182</v>
      </c>
      <c r="B11" s="277" t="s">
        <v>215</v>
      </c>
      <c r="C11" s="277" t="s">
        <v>215</v>
      </c>
      <c r="D11" s="277" t="s">
        <v>215</v>
      </c>
      <c r="E11" s="277" t="s">
        <v>215</v>
      </c>
      <c r="F11" s="277" t="s">
        <v>215</v>
      </c>
      <c r="G11" s="277" t="s">
        <v>215</v>
      </c>
      <c r="H11" s="277" t="s">
        <v>215</v>
      </c>
      <c r="I11" s="277" t="s">
        <v>215</v>
      </c>
      <c r="J11" s="277" t="s">
        <v>215</v>
      </c>
      <c r="K11" s="277" t="s">
        <v>215</v>
      </c>
      <c r="L11" s="277" t="s">
        <v>215</v>
      </c>
      <c r="M11" s="277" t="s">
        <v>215</v>
      </c>
      <c r="N11" s="277" t="s">
        <v>215</v>
      </c>
      <c r="O11" s="277" t="s">
        <v>215</v>
      </c>
      <c r="P11" s="277" t="s">
        <v>215</v>
      </c>
      <c r="Q11" s="277" t="s">
        <v>215</v>
      </c>
      <c r="R11" s="277" t="s">
        <v>215</v>
      </c>
    </row>
    <row r="12" spans="1:18" ht="15.75" x14ac:dyDescent="0.25">
      <c r="A12" s="255"/>
      <c r="B12" s="256"/>
      <c r="C12" s="255"/>
      <c r="D12" s="255"/>
      <c r="E12" s="255"/>
      <c r="F12" s="255"/>
      <c r="G12" s="255"/>
      <c r="H12" s="255"/>
      <c r="I12" s="255"/>
      <c r="J12" s="255"/>
      <c r="K12" s="255"/>
      <c r="L12" s="255"/>
      <c r="M12" s="255"/>
      <c r="N12" s="255"/>
      <c r="O12" s="255"/>
      <c r="P12" s="255"/>
      <c r="Q12" s="255"/>
      <c r="R12" s="255"/>
    </row>
    <row r="13" spans="1:18" ht="31.5" x14ac:dyDescent="0.25">
      <c r="A13" s="253" t="s">
        <v>211</v>
      </c>
      <c r="B13" s="278">
        <v>67666051.629999995</v>
      </c>
      <c r="C13" s="279">
        <v>2687147</v>
      </c>
      <c r="D13" s="279">
        <v>3435774</v>
      </c>
      <c r="E13" s="279">
        <v>1698223</v>
      </c>
      <c r="F13" s="279">
        <v>1765124</v>
      </c>
      <c r="G13" s="279">
        <v>7935188.4000000004</v>
      </c>
      <c r="H13" s="279">
        <v>1502649.74</v>
      </c>
      <c r="I13" s="279">
        <v>3790537.09</v>
      </c>
      <c r="J13" s="279">
        <v>2236806.65</v>
      </c>
      <c r="K13" s="279">
        <v>10040437.58</v>
      </c>
      <c r="L13" s="279">
        <v>4147970.75</v>
      </c>
      <c r="M13" s="279" t="s">
        <v>214</v>
      </c>
      <c r="N13" s="279">
        <v>2523687</v>
      </c>
      <c r="O13" s="279">
        <v>11137217.869999999</v>
      </c>
      <c r="P13" s="279">
        <v>3814108.5499999993</v>
      </c>
      <c r="Q13" s="279">
        <v>4922527</v>
      </c>
      <c r="R13" s="279">
        <v>6028653</v>
      </c>
    </row>
    <row r="14" spans="1:18" ht="15.75" x14ac:dyDescent="0.25">
      <c r="A14" s="253" t="s">
        <v>186</v>
      </c>
      <c r="B14" s="280">
        <v>0.87581645259948204</v>
      </c>
      <c r="C14" s="281">
        <v>0.89137252260482958</v>
      </c>
      <c r="D14" s="281">
        <v>0.81678713442735174</v>
      </c>
      <c r="E14" s="281">
        <v>0.91655983931438922</v>
      </c>
      <c r="F14" s="281">
        <v>0.79948547524139946</v>
      </c>
      <c r="G14" s="281">
        <v>0.8396560351358513</v>
      </c>
      <c r="H14" s="281">
        <v>0.83736067461735963</v>
      </c>
      <c r="I14" s="281">
        <v>0.95742634983687758</v>
      </c>
      <c r="J14" s="281">
        <v>0.88167553954652278</v>
      </c>
      <c r="K14" s="281">
        <v>0.93341785308922753</v>
      </c>
      <c r="L14" s="281">
        <v>0.83491164444686594</v>
      </c>
      <c r="M14" s="281"/>
      <c r="N14" s="281">
        <v>0.90060891069296634</v>
      </c>
      <c r="O14" s="281">
        <v>0.91398720208388995</v>
      </c>
      <c r="P14" s="281">
        <v>0.74871904995991789</v>
      </c>
      <c r="Q14" s="281">
        <v>0.88490500306041986</v>
      </c>
      <c r="R14" s="281">
        <v>0.84139674318624735</v>
      </c>
    </row>
    <row r="15" spans="1:18" ht="15.75" x14ac:dyDescent="0.25">
      <c r="A15" s="253" t="s">
        <v>187</v>
      </c>
      <c r="B15" s="280">
        <v>0.11755442276276348</v>
      </c>
      <c r="C15" s="281">
        <v>0.10862747739517041</v>
      </c>
      <c r="D15" s="281">
        <v>0.18321286557264826</v>
      </c>
      <c r="E15" s="281">
        <v>8.3440160685610776E-2</v>
      </c>
      <c r="F15" s="281">
        <v>0.18558469546615422</v>
      </c>
      <c r="G15" s="281">
        <v>0.16034396486414865</v>
      </c>
      <c r="H15" s="281">
        <v>0.1255009301102997</v>
      </c>
      <c r="I15" s="281">
        <v>4.2573650163122402E-2</v>
      </c>
      <c r="J15" s="281">
        <v>0.11832446045347729</v>
      </c>
      <c r="K15" s="281">
        <v>6.6582146910772383E-2</v>
      </c>
      <c r="L15" s="281">
        <v>0.15895837018619285</v>
      </c>
      <c r="M15" s="281"/>
      <c r="N15" s="281">
        <v>9.939108930703372E-2</v>
      </c>
      <c r="O15" s="281">
        <v>8.6012797916110093E-2</v>
      </c>
      <c r="P15" s="281">
        <v>0.16188111111835038</v>
      </c>
      <c r="Q15" s="281">
        <v>0.11509499693958002</v>
      </c>
      <c r="R15" s="281">
        <v>0.15860325681375259</v>
      </c>
    </row>
    <row r="16" spans="1:18" ht="15.75" x14ac:dyDescent="0.25">
      <c r="A16" s="253" t="s">
        <v>82</v>
      </c>
      <c r="B16" s="280">
        <v>6.6291246377544848E-3</v>
      </c>
      <c r="C16" s="281">
        <v>0</v>
      </c>
      <c r="D16" s="281">
        <v>0</v>
      </c>
      <c r="E16" s="281">
        <v>0</v>
      </c>
      <c r="F16" s="281">
        <v>1.4929829292446311E-2</v>
      </c>
      <c r="G16" s="281">
        <v>0</v>
      </c>
      <c r="H16" s="281">
        <v>3.713839527234071E-2</v>
      </c>
      <c r="I16" s="281">
        <v>0</v>
      </c>
      <c r="J16" s="281">
        <v>0</v>
      </c>
      <c r="K16" s="281">
        <v>0</v>
      </c>
      <c r="L16" s="281">
        <v>6.129985366941172E-3</v>
      </c>
      <c r="M16" s="281"/>
      <c r="N16" s="281">
        <v>0</v>
      </c>
      <c r="O16" s="281">
        <v>0</v>
      </c>
      <c r="P16" s="281">
        <v>8.9399838921731811E-2</v>
      </c>
      <c r="Q16" s="281">
        <v>0</v>
      </c>
      <c r="R16" s="281">
        <v>0</v>
      </c>
    </row>
    <row r="19" spans="1:18" ht="15.75" x14ac:dyDescent="0.2">
      <c r="A19" s="245" t="s">
        <v>189</v>
      </c>
      <c r="B19" s="225" t="s">
        <v>213</v>
      </c>
      <c r="C19" s="246"/>
      <c r="D19" s="246"/>
      <c r="E19" s="246"/>
      <c r="F19" s="246"/>
      <c r="G19" s="246"/>
      <c r="H19" s="246"/>
      <c r="I19" s="246"/>
      <c r="J19" s="246"/>
      <c r="K19" s="246"/>
      <c r="L19" s="246"/>
      <c r="M19" s="246"/>
      <c r="N19" s="246"/>
      <c r="O19" s="246"/>
      <c r="P19" s="246"/>
      <c r="Q19" s="246"/>
      <c r="R19" s="246"/>
    </row>
    <row r="20" spans="1:18" ht="15.75" x14ac:dyDescent="0.2">
      <c r="A20" s="245" t="s">
        <v>191</v>
      </c>
      <c r="B20" s="229" t="s">
        <v>212</v>
      </c>
      <c r="C20" s="246"/>
      <c r="D20" s="246"/>
      <c r="E20" s="246"/>
      <c r="F20" s="246"/>
      <c r="G20" s="246"/>
      <c r="H20" s="246"/>
      <c r="I20" s="246"/>
      <c r="J20" s="246"/>
      <c r="K20" s="246"/>
      <c r="L20" s="246"/>
      <c r="M20" s="246"/>
      <c r="N20" s="246"/>
      <c r="O20" s="246"/>
      <c r="P20" s="246"/>
      <c r="Q20" s="246"/>
      <c r="R20" s="246"/>
    </row>
    <row r="21" spans="1:18" ht="15.75" x14ac:dyDescent="0.25">
      <c r="A21" s="248" t="s">
        <v>79</v>
      </c>
      <c r="B21" s="250"/>
      <c r="C21" s="250">
        <v>1</v>
      </c>
      <c r="D21" s="250">
        <v>2</v>
      </c>
      <c r="E21" s="250">
        <v>3</v>
      </c>
      <c r="F21" s="250">
        <v>4</v>
      </c>
      <c r="G21" s="250">
        <v>5</v>
      </c>
      <c r="H21" s="250">
        <v>6</v>
      </c>
      <c r="I21" s="250">
        <v>7</v>
      </c>
      <c r="J21" s="250">
        <v>8</v>
      </c>
      <c r="K21" s="250">
        <v>9</v>
      </c>
      <c r="L21" s="250">
        <v>10</v>
      </c>
      <c r="M21" s="250">
        <v>11</v>
      </c>
      <c r="N21" s="250">
        <v>12</v>
      </c>
      <c r="O21" s="250">
        <v>13</v>
      </c>
      <c r="P21" s="250">
        <v>14</v>
      </c>
      <c r="Q21" s="250">
        <v>15</v>
      </c>
      <c r="R21" s="250">
        <v>16</v>
      </c>
    </row>
    <row r="22" spans="1:18" ht="78.75" x14ac:dyDescent="0.2">
      <c r="A22" s="248" t="s">
        <v>193</v>
      </c>
      <c r="B22" s="251" t="s">
        <v>48</v>
      </c>
      <c r="C22" s="252" t="s">
        <v>194</v>
      </c>
      <c r="D22" s="252" t="s">
        <v>195</v>
      </c>
      <c r="E22" s="252" t="s">
        <v>196</v>
      </c>
      <c r="F22" s="252" t="s">
        <v>197</v>
      </c>
      <c r="G22" s="252" t="s">
        <v>198</v>
      </c>
      <c r="H22" s="252" t="s">
        <v>199</v>
      </c>
      <c r="I22" s="252" t="s">
        <v>200</v>
      </c>
      <c r="J22" s="252" t="s">
        <v>201</v>
      </c>
      <c r="K22" s="252" t="s">
        <v>202</v>
      </c>
      <c r="L22" s="252" t="s">
        <v>203</v>
      </c>
      <c r="M22" s="252" t="s">
        <v>204</v>
      </c>
      <c r="N22" s="252" t="s">
        <v>205</v>
      </c>
      <c r="O22" s="252" t="s">
        <v>206</v>
      </c>
      <c r="P22" s="252" t="s">
        <v>207</v>
      </c>
      <c r="Q22" s="252" t="s">
        <v>208</v>
      </c>
      <c r="R22" s="252" t="s">
        <v>209</v>
      </c>
    </row>
    <row r="23" spans="1:18" ht="15.75" x14ac:dyDescent="0.25">
      <c r="A23" s="253" t="s">
        <v>210</v>
      </c>
      <c r="B23" s="274">
        <v>85378396.560000002</v>
      </c>
      <c r="C23" s="275">
        <v>2981348</v>
      </c>
      <c r="D23" s="275">
        <v>3501370</v>
      </c>
      <c r="E23" s="275">
        <v>2387824.94</v>
      </c>
      <c r="F23" s="275">
        <v>2254624</v>
      </c>
      <c r="G23" s="275">
        <v>9327476.3499999996</v>
      </c>
      <c r="H23" s="275">
        <v>2097957.59</v>
      </c>
      <c r="I23" s="275">
        <v>2585316.2400000002</v>
      </c>
      <c r="J23" s="275">
        <v>3054652.65</v>
      </c>
      <c r="K23" s="275">
        <v>11580292.73</v>
      </c>
      <c r="L23" s="275">
        <v>4365943</v>
      </c>
      <c r="M23" s="275">
        <v>5700792.7400000002</v>
      </c>
      <c r="N23" s="275">
        <v>2922752</v>
      </c>
      <c r="O23" s="275">
        <v>12746383.439999999</v>
      </c>
      <c r="P23" s="275">
        <v>4215873.1000000006</v>
      </c>
      <c r="Q23" s="275">
        <v>8470643.7799999993</v>
      </c>
      <c r="R23" s="275">
        <v>7185146</v>
      </c>
    </row>
    <row r="24" spans="1:18" ht="15.75" x14ac:dyDescent="0.25">
      <c r="A24" s="253" t="s">
        <v>80</v>
      </c>
      <c r="B24" s="276">
        <v>0.51534439756173378</v>
      </c>
      <c r="C24" s="277">
        <v>0.50894360537582328</v>
      </c>
      <c r="D24" s="277">
        <v>0.51362580932606383</v>
      </c>
      <c r="E24" s="277">
        <v>0.2024767360039384</v>
      </c>
      <c r="F24" s="277"/>
      <c r="G24" s="277">
        <v>0.51763316022773942</v>
      </c>
      <c r="H24" s="277">
        <v>0.25118000597905321</v>
      </c>
      <c r="I24" s="277">
        <v>9.0897970764303865E-2</v>
      </c>
      <c r="J24" s="277">
        <v>0.25616824223860607</v>
      </c>
      <c r="K24" s="277">
        <v>0.62725804859684231</v>
      </c>
      <c r="L24" s="277">
        <v>0.5473234533753647</v>
      </c>
      <c r="M24" s="277">
        <v>0.52187671358843324</v>
      </c>
      <c r="N24" s="277">
        <v>0.39401871934396077</v>
      </c>
      <c r="O24" s="277">
        <v>0.61090308766044776</v>
      </c>
      <c r="P24" s="277">
        <v>0.42239518547178279</v>
      </c>
      <c r="Q24" s="277">
        <v>0.61149555034174752</v>
      </c>
      <c r="R24" s="277">
        <v>0.67312939778815906</v>
      </c>
    </row>
    <row r="25" spans="1:18" ht="15.75" x14ac:dyDescent="0.25">
      <c r="A25" s="253" t="s">
        <v>81</v>
      </c>
      <c r="B25" s="276">
        <v>0.33933263503771754</v>
      </c>
      <c r="C25" s="277">
        <v>0.10783377183743729</v>
      </c>
      <c r="D25" s="277">
        <v>0.39870365028545968</v>
      </c>
      <c r="E25" s="277">
        <v>0.75250111928222008</v>
      </c>
      <c r="F25" s="277">
        <v>0.7944765956540869</v>
      </c>
      <c r="G25" s="277">
        <v>0.267535209563946</v>
      </c>
      <c r="H25" s="277">
        <v>0.54848372792893307</v>
      </c>
      <c r="I25" s="277">
        <v>0.88589403670012923</v>
      </c>
      <c r="J25" s="277">
        <v>0.55309676535562891</v>
      </c>
      <c r="K25" s="277">
        <v>0.23701938923265886</v>
      </c>
      <c r="L25" s="277">
        <v>0.3585646903773137</v>
      </c>
      <c r="M25" s="277">
        <v>0.36626669574379228</v>
      </c>
      <c r="N25" s="277">
        <v>0.45174684680739247</v>
      </c>
      <c r="O25" s="277">
        <v>0.27073355875758903</v>
      </c>
      <c r="P25" s="277">
        <v>0.40592877665127058</v>
      </c>
      <c r="Q25" s="277">
        <v>0.16410196274361571</v>
      </c>
      <c r="R25" s="277">
        <v>0.24624176043186874</v>
      </c>
    </row>
    <row r="26" spans="1:18" ht="15.75" x14ac:dyDescent="0.25">
      <c r="A26" s="253" t="s">
        <v>82</v>
      </c>
      <c r="B26" s="276">
        <v>8.9427711313767019E-2</v>
      </c>
      <c r="C26" s="277">
        <v>0.35139104861290932</v>
      </c>
      <c r="D26" s="277">
        <v>8.6785172660986981E-2</v>
      </c>
      <c r="E26" s="277">
        <v>4.5022144713841541E-2</v>
      </c>
      <c r="F26" s="277">
        <v>0</v>
      </c>
      <c r="G26" s="277">
        <v>0.11888370534437216</v>
      </c>
      <c r="H26" s="277">
        <v>6.2994457385575658E-2</v>
      </c>
      <c r="I26" s="277">
        <v>0</v>
      </c>
      <c r="J26" s="277">
        <v>0.11155152125070589</v>
      </c>
      <c r="K26" s="277">
        <v>7.7488918537899507E-2</v>
      </c>
      <c r="L26" s="277">
        <v>9.4111856247321601E-2</v>
      </c>
      <c r="M26" s="277">
        <v>0.10625859729115499</v>
      </c>
      <c r="N26" s="277">
        <v>0.10645378054655338</v>
      </c>
      <c r="O26" s="277">
        <v>0.10928226791206588</v>
      </c>
      <c r="P26" s="277">
        <v>9.0908253381725368E-2</v>
      </c>
      <c r="Q26" s="277">
        <v>6.3441281909271839E-3</v>
      </c>
      <c r="R26" s="277">
        <v>7.5061801110234916E-2</v>
      </c>
    </row>
    <row r="27" spans="1:18" ht="15.75" x14ac:dyDescent="0.25">
      <c r="A27" s="254" t="s">
        <v>183</v>
      </c>
      <c r="B27" s="276">
        <v>1.6214035116332477E-2</v>
      </c>
      <c r="C27" s="277">
        <v>0</v>
      </c>
      <c r="D27" s="277">
        <v>0</v>
      </c>
      <c r="E27" s="277">
        <v>0</v>
      </c>
      <c r="F27" s="277">
        <v>0.2055234043459131</v>
      </c>
      <c r="G27" s="277">
        <v>2.3137769735540527E-2</v>
      </c>
      <c r="H27" s="277">
        <v>0</v>
      </c>
      <c r="I27" s="277">
        <v>0</v>
      </c>
      <c r="J27" s="277">
        <v>0</v>
      </c>
      <c r="K27" s="277">
        <v>3.5540034228478436E-4</v>
      </c>
      <c r="L27" s="277">
        <v>0</v>
      </c>
      <c r="M27" s="277">
        <v>0</v>
      </c>
      <c r="N27" s="277">
        <v>0</v>
      </c>
      <c r="O27" s="277">
        <v>0</v>
      </c>
      <c r="P27" s="277">
        <v>3.6410014333685702E-2</v>
      </c>
      <c r="Q27" s="277">
        <v>0.11461887729152036</v>
      </c>
      <c r="R27" s="277">
        <v>5.567040669737261E-3</v>
      </c>
    </row>
    <row r="28" spans="1:18" ht="15.75" x14ac:dyDescent="0.25">
      <c r="A28" s="253" t="s">
        <v>86</v>
      </c>
      <c r="B28" s="276">
        <v>3.9681220970449203E-2</v>
      </c>
      <c r="C28" s="277">
        <v>3.1831574173830091E-2</v>
      </c>
      <c r="D28" s="277">
        <v>8.8536772748952551E-4</v>
      </c>
      <c r="E28" s="277">
        <v>0</v>
      </c>
      <c r="F28" s="277">
        <v>0</v>
      </c>
      <c r="G28" s="277">
        <v>7.2810155128401916E-2</v>
      </c>
      <c r="H28" s="277">
        <v>0.13734180870643814</v>
      </c>
      <c r="I28" s="277">
        <v>2.3207992535566942E-2</v>
      </c>
      <c r="J28" s="277">
        <v>7.9183471155059151E-2</v>
      </c>
      <c r="K28" s="277">
        <v>5.7878243290314477E-2</v>
      </c>
      <c r="L28" s="277">
        <v>0</v>
      </c>
      <c r="M28" s="277">
        <v>5.5979933766194066E-3</v>
      </c>
      <c r="N28" s="277">
        <v>4.778065330209337E-2</v>
      </c>
      <c r="O28" s="277">
        <v>9.0810856698972809E-3</v>
      </c>
      <c r="P28" s="277">
        <v>4.4357770161535456E-2</v>
      </c>
      <c r="Q28" s="277">
        <v>0.10343948143218934</v>
      </c>
      <c r="R28" s="277">
        <v>0</v>
      </c>
    </row>
    <row r="29" spans="1:18" ht="15.75" x14ac:dyDescent="0.25">
      <c r="A29" s="253" t="s">
        <v>182</v>
      </c>
      <c r="B29" s="277" t="s">
        <v>215</v>
      </c>
      <c r="C29" s="277" t="s">
        <v>215</v>
      </c>
      <c r="D29" s="277" t="s">
        <v>215</v>
      </c>
      <c r="E29" s="277" t="s">
        <v>215</v>
      </c>
      <c r="F29" s="277" t="s">
        <v>215</v>
      </c>
      <c r="G29" s="277" t="s">
        <v>215</v>
      </c>
      <c r="H29" s="277" t="s">
        <v>215</v>
      </c>
      <c r="I29" s="277" t="s">
        <v>215</v>
      </c>
      <c r="J29" s="277" t="s">
        <v>215</v>
      </c>
      <c r="K29" s="277" t="s">
        <v>215</v>
      </c>
      <c r="L29" s="277" t="s">
        <v>215</v>
      </c>
      <c r="M29" s="277" t="s">
        <v>215</v>
      </c>
      <c r="N29" s="277" t="s">
        <v>215</v>
      </c>
      <c r="O29" s="277" t="s">
        <v>215</v>
      </c>
      <c r="P29" s="277" t="s">
        <v>215</v>
      </c>
      <c r="Q29" s="277" t="s">
        <v>215</v>
      </c>
      <c r="R29" s="277" t="s">
        <v>215</v>
      </c>
    </row>
    <row r="30" spans="1:18" ht="15.75" x14ac:dyDescent="0.25">
      <c r="A30" s="255"/>
      <c r="B30" s="256"/>
      <c r="C30" s="255"/>
      <c r="D30" s="255"/>
      <c r="E30" s="255"/>
      <c r="F30" s="255"/>
      <c r="G30" s="255"/>
      <c r="H30" s="255"/>
      <c r="I30" s="255"/>
      <c r="J30" s="255"/>
      <c r="K30" s="255"/>
      <c r="L30" s="255"/>
      <c r="M30" s="255"/>
      <c r="N30" s="255"/>
      <c r="O30" s="255"/>
      <c r="P30" s="255"/>
      <c r="Q30" s="255"/>
      <c r="R30" s="255"/>
    </row>
    <row r="31" spans="1:18" ht="15.75" x14ac:dyDescent="0.25">
      <c r="A31" s="253" t="s">
        <v>211</v>
      </c>
      <c r="B31" s="278">
        <v>83479497.230000004</v>
      </c>
      <c r="C31" s="279">
        <v>2718150</v>
      </c>
      <c r="D31" s="279">
        <v>3507590</v>
      </c>
      <c r="E31" s="279">
        <v>1948225.06</v>
      </c>
      <c r="F31" s="279">
        <v>2002864</v>
      </c>
      <c r="G31" s="279">
        <v>8187801.7199999988</v>
      </c>
      <c r="H31" s="279">
        <v>2021952.5899999999</v>
      </c>
      <c r="I31" s="279">
        <v>5541864.5699999994</v>
      </c>
      <c r="J31" s="279">
        <v>2692705.24</v>
      </c>
      <c r="K31" s="279">
        <v>11112121.959999999</v>
      </c>
      <c r="L31" s="279">
        <v>4936978</v>
      </c>
      <c r="M31" s="279">
        <v>5243844.49</v>
      </c>
      <c r="N31" s="279">
        <v>2943704</v>
      </c>
      <c r="O31" s="279">
        <v>11898793.339999998</v>
      </c>
      <c r="P31" s="279">
        <v>4215873.0999999996</v>
      </c>
      <c r="Q31" s="279">
        <v>7440804.1600000001</v>
      </c>
      <c r="R31" s="279">
        <v>7066225</v>
      </c>
    </row>
    <row r="32" spans="1:18" ht="15.75" x14ac:dyDescent="0.25">
      <c r="A32" s="253" t="s">
        <v>186</v>
      </c>
      <c r="B32" s="280">
        <v>0.8628973482139406</v>
      </c>
      <c r="C32" s="281">
        <v>0.89373581296102134</v>
      </c>
      <c r="D32" s="281">
        <v>0.84454311934975301</v>
      </c>
      <c r="E32" s="281">
        <v>0.83468333992172339</v>
      </c>
      <c r="F32" s="281">
        <v>0.79144115626422962</v>
      </c>
      <c r="G32" s="281">
        <v>0.83357870077977414</v>
      </c>
      <c r="H32" s="281">
        <v>0.84187130718035286</v>
      </c>
      <c r="I32" s="281">
        <v>0.88587967605278384</v>
      </c>
      <c r="J32" s="281">
        <v>0.88403558051530362</v>
      </c>
      <c r="K32" s="281">
        <v>0.9063988377967731</v>
      </c>
      <c r="L32" s="281">
        <v>0.85618226372489403</v>
      </c>
      <c r="M32" s="281">
        <v>0.83046680890416713</v>
      </c>
      <c r="N32" s="281">
        <v>0.83188357253310796</v>
      </c>
      <c r="O32" s="281">
        <v>0.94407915903849127</v>
      </c>
      <c r="P32" s="281">
        <v>0.78630170106400976</v>
      </c>
      <c r="Q32" s="281">
        <v>0.83937743901057071</v>
      </c>
      <c r="R32" s="281">
        <v>0.8091201454807907</v>
      </c>
    </row>
    <row r="33" spans="1:18" ht="15.75" x14ac:dyDescent="0.25">
      <c r="A33" s="253" t="s">
        <v>187</v>
      </c>
      <c r="B33" s="280">
        <v>0.12886776618168186</v>
      </c>
      <c r="C33" s="281">
        <v>0.10626418703897872</v>
      </c>
      <c r="D33" s="281">
        <v>0.15545688065024704</v>
      </c>
      <c r="E33" s="281">
        <v>8.876886636495683E-2</v>
      </c>
      <c r="F33" s="281">
        <v>0.19322480208341655</v>
      </c>
      <c r="G33" s="281">
        <v>0.16642129922022589</v>
      </c>
      <c r="H33" s="281">
        <v>0.13630242932649572</v>
      </c>
      <c r="I33" s="281">
        <v>0.11412032394721622</v>
      </c>
      <c r="J33" s="281">
        <v>0.11596441948469635</v>
      </c>
      <c r="K33" s="281">
        <v>7.3152044490339643E-2</v>
      </c>
      <c r="L33" s="281">
        <v>0.14381773627510594</v>
      </c>
      <c r="M33" s="281">
        <v>0.16953319109583281</v>
      </c>
      <c r="N33" s="281">
        <v>0.16811642746689207</v>
      </c>
      <c r="O33" s="281">
        <v>5.5920840961508803E-2</v>
      </c>
      <c r="P33" s="281">
        <v>0.15766363793065785</v>
      </c>
      <c r="Q33" s="281">
        <v>0.1606225609894294</v>
      </c>
      <c r="R33" s="281">
        <v>0.19087985451920933</v>
      </c>
    </row>
    <row r="34" spans="1:18" ht="15.75" x14ac:dyDescent="0.25">
      <c r="A34" s="253" t="s">
        <v>82</v>
      </c>
      <c r="B34" s="280">
        <v>8.2348856043775193E-3</v>
      </c>
      <c r="C34" s="281">
        <v>0</v>
      </c>
      <c r="D34" s="281">
        <v>0</v>
      </c>
      <c r="E34" s="281">
        <v>7.6547793713319739E-2</v>
      </c>
      <c r="F34" s="281">
        <v>1.5334041652353829E-2</v>
      </c>
      <c r="G34" s="281">
        <v>0</v>
      </c>
      <c r="H34" s="281">
        <v>2.1826263493151438E-2</v>
      </c>
      <c r="I34" s="281">
        <v>0</v>
      </c>
      <c r="J34" s="281">
        <v>0</v>
      </c>
      <c r="K34" s="281">
        <v>2.0449117712887308E-2</v>
      </c>
      <c r="L34" s="281">
        <v>0</v>
      </c>
      <c r="M34" s="281">
        <v>0</v>
      </c>
      <c r="N34" s="281">
        <v>0</v>
      </c>
      <c r="O34" s="281">
        <v>0</v>
      </c>
      <c r="P34" s="281">
        <v>5.6034661005332442E-2</v>
      </c>
      <c r="Q34" s="281">
        <v>0</v>
      </c>
      <c r="R34" s="281">
        <v>0</v>
      </c>
    </row>
  </sheetData>
  <pageMargins left="0.7" right="0.7" top="0.75" bottom="0.75" header="0.3" footer="0.3"/>
  <pageSetup paperSize="5" scale="56" fitToHeight="0" orientation="landscape" verticalDpi="0" r:id="rId1"/>
  <headerFooter>
    <oddHeader>&amp;CFunding and Expense Categories as a Percentage of the Total - Solicitor's Offices (FY15-16 and 16-17)</oddHeader>
    <oddFooter>&amp;LData and analysis based on reports submitted by Commission on Indigent Defense and Commission on Prosecution Coordination pursuant to FY15-16 Proviso 117.110 and FY16-17 Proviso 117.109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82"/>
  <sheetViews>
    <sheetView zoomScaleNormal="100" workbookViewId="0">
      <pane xSplit="2" ySplit="2" topLeftCell="C3" activePane="bottomRight" state="frozen"/>
      <selection pane="topRight" activeCell="C1" sqref="C1"/>
      <selection pane="bottomLeft" activeCell="A3" sqref="A3"/>
      <selection pane="bottomRight" activeCell="AC27" sqref="AC27"/>
    </sheetView>
  </sheetViews>
  <sheetFormatPr defaultColWidth="22.140625" defaultRowHeight="12.75" outlineLevelRow="1" outlineLevelCol="1" x14ac:dyDescent="0.2"/>
  <cols>
    <col min="1" max="1" width="6.7109375" style="77" bestFit="1" customWidth="1"/>
    <col min="2" max="2" width="11.7109375" style="1" bestFit="1" customWidth="1"/>
    <col min="3" max="3" width="14.28515625" style="1" bestFit="1" customWidth="1" outlineLevel="1"/>
    <col min="4" max="4" width="11.7109375" style="35" bestFit="1" customWidth="1" outlineLevel="1"/>
    <col min="5" max="5" width="15.42578125" style="1" bestFit="1" customWidth="1" outlineLevel="1"/>
    <col min="6" max="6" width="14.28515625" style="1" bestFit="1" customWidth="1" outlineLevel="1"/>
    <col min="7" max="7" width="13.28515625" style="1" bestFit="1" customWidth="1" outlineLevel="1"/>
    <col min="8" max="8" width="14.28515625" style="1" bestFit="1" customWidth="1" outlineLevel="1"/>
    <col min="9" max="9" width="21.42578125" style="1" customWidth="1" outlineLevel="1"/>
    <col min="10" max="10" width="2.7109375" style="1" customWidth="1"/>
    <col min="11" max="11" width="12.28515625" style="56" hidden="1" customWidth="1" outlineLevel="1"/>
    <col min="12" max="12" width="10.42578125" style="56" hidden="1" customWidth="1" outlineLevel="1"/>
    <col min="13" max="13" width="10.5703125" style="56" hidden="1" customWidth="1" outlineLevel="1"/>
    <col min="14" max="14" width="9.28515625" style="56" hidden="1" customWidth="1" outlineLevel="1"/>
    <col min="15" max="15" width="10.140625" style="56" hidden="1" customWidth="1" outlineLevel="1"/>
    <col min="16" max="16" width="2.7109375" style="1" customWidth="1" collapsed="1"/>
    <col min="17" max="17" width="15.42578125" style="1" bestFit="1" customWidth="1" outlineLevel="1"/>
    <col min="18" max="18" width="14.28515625" style="1" bestFit="1" customWidth="1" outlineLevel="1"/>
    <col min="19" max="19" width="16.7109375" style="1" bestFit="1" customWidth="1" outlineLevel="1"/>
    <col min="20" max="20" width="20.140625" style="1" bestFit="1" customWidth="1" outlineLevel="1"/>
    <col min="21" max="21" width="15.28515625" style="1" bestFit="1" customWidth="1" outlineLevel="1"/>
    <col min="22" max="22" width="22.140625" style="1" outlineLevel="1"/>
    <col min="23" max="23" width="2.7109375" style="1" customWidth="1"/>
    <col min="24" max="24" width="11.140625" style="56" hidden="1" customWidth="1" outlineLevel="1"/>
    <col min="25" max="25" width="11.7109375" style="56" hidden="1" customWidth="1" outlineLevel="1"/>
    <col min="26" max="26" width="10.85546875" style="56" hidden="1" customWidth="1" outlineLevel="1"/>
    <col min="27" max="27" width="2.7109375" style="1" customWidth="1" collapsed="1"/>
    <col min="28" max="28" width="22" style="1" bestFit="1" customWidth="1"/>
    <col min="29" max="257" width="22.140625" style="1"/>
    <col min="258" max="258" width="7.140625" style="1" customWidth="1"/>
    <col min="259" max="259" width="11.7109375" style="1" bestFit="1" customWidth="1"/>
    <col min="260" max="260" width="20.85546875" style="1" bestFit="1" customWidth="1"/>
    <col min="261" max="261" width="19.85546875" style="1" bestFit="1" customWidth="1"/>
    <col min="262" max="262" width="15.85546875" style="1" customWidth="1"/>
    <col min="263" max="263" width="17.7109375" style="1" bestFit="1" customWidth="1"/>
    <col min="264" max="264" width="16.28515625" style="1" bestFit="1" customWidth="1"/>
    <col min="265" max="265" width="14.85546875" style="1" customWidth="1"/>
    <col min="266" max="266" width="20.5703125" style="1" bestFit="1" customWidth="1"/>
    <col min="267" max="267" width="37.140625" style="1" customWidth="1"/>
    <col min="268" max="268" width="4.5703125" style="1" bestFit="1" customWidth="1"/>
    <col min="269" max="269" width="4.7109375" style="1" bestFit="1" customWidth="1"/>
    <col min="270" max="271" width="8.5703125" style="1" bestFit="1" customWidth="1"/>
    <col min="272" max="272" width="9.5703125" style="1" bestFit="1" customWidth="1"/>
    <col min="273" max="513" width="22.140625" style="1"/>
    <col min="514" max="514" width="7.140625" style="1" customWidth="1"/>
    <col min="515" max="515" width="11.7109375" style="1" bestFit="1" customWidth="1"/>
    <col min="516" max="516" width="20.85546875" style="1" bestFit="1" customWidth="1"/>
    <col min="517" max="517" width="19.85546875" style="1" bestFit="1" customWidth="1"/>
    <col min="518" max="518" width="15.85546875" style="1" customWidth="1"/>
    <col min="519" max="519" width="17.7109375" style="1" bestFit="1" customWidth="1"/>
    <col min="520" max="520" width="16.28515625" style="1" bestFit="1" customWidth="1"/>
    <col min="521" max="521" width="14.85546875" style="1" customWidth="1"/>
    <col min="522" max="522" width="20.5703125" style="1" bestFit="1" customWidth="1"/>
    <col min="523" max="523" width="37.140625" style="1" customWidth="1"/>
    <col min="524" max="524" width="4.5703125" style="1" bestFit="1" customWidth="1"/>
    <col min="525" max="525" width="4.7109375" style="1" bestFit="1" customWidth="1"/>
    <col min="526" max="527" width="8.5703125" style="1" bestFit="1" customWidth="1"/>
    <col min="528" max="528" width="9.5703125" style="1" bestFit="1" customWidth="1"/>
    <col min="529" max="769" width="22.140625" style="1"/>
    <col min="770" max="770" width="7.140625" style="1" customWidth="1"/>
    <col min="771" max="771" width="11.7109375" style="1" bestFit="1" customWidth="1"/>
    <col min="772" max="772" width="20.85546875" style="1" bestFit="1" customWidth="1"/>
    <col min="773" max="773" width="19.85546875" style="1" bestFit="1" customWidth="1"/>
    <col min="774" max="774" width="15.85546875" style="1" customWidth="1"/>
    <col min="775" max="775" width="17.7109375" style="1" bestFit="1" customWidth="1"/>
    <col min="776" max="776" width="16.28515625" style="1" bestFit="1" customWidth="1"/>
    <col min="777" max="777" width="14.85546875" style="1" customWidth="1"/>
    <col min="778" max="778" width="20.5703125" style="1" bestFit="1" customWidth="1"/>
    <col min="779" max="779" width="37.140625" style="1" customWidth="1"/>
    <col min="780" max="780" width="4.5703125" style="1" bestFit="1" customWidth="1"/>
    <col min="781" max="781" width="4.7109375" style="1" bestFit="1" customWidth="1"/>
    <col min="782" max="783" width="8.5703125" style="1" bestFit="1" customWidth="1"/>
    <col min="784" max="784" width="9.5703125" style="1" bestFit="1" customWidth="1"/>
    <col min="785" max="1025" width="22.140625" style="1"/>
    <col min="1026" max="1026" width="7.140625" style="1" customWidth="1"/>
    <col min="1027" max="1027" width="11.7109375" style="1" bestFit="1" customWidth="1"/>
    <col min="1028" max="1028" width="20.85546875" style="1" bestFit="1" customWidth="1"/>
    <col min="1029" max="1029" width="19.85546875" style="1" bestFit="1" customWidth="1"/>
    <col min="1030" max="1030" width="15.85546875" style="1" customWidth="1"/>
    <col min="1031" max="1031" width="17.7109375" style="1" bestFit="1" customWidth="1"/>
    <col min="1032" max="1032" width="16.28515625" style="1" bestFit="1" customWidth="1"/>
    <col min="1033" max="1033" width="14.85546875" style="1" customWidth="1"/>
    <col min="1034" max="1034" width="20.5703125" style="1" bestFit="1" customWidth="1"/>
    <col min="1035" max="1035" width="37.140625" style="1" customWidth="1"/>
    <col min="1036" max="1036" width="4.5703125" style="1" bestFit="1" customWidth="1"/>
    <col min="1037" max="1037" width="4.7109375" style="1" bestFit="1" customWidth="1"/>
    <col min="1038" max="1039" width="8.5703125" style="1" bestFit="1" customWidth="1"/>
    <col min="1040" max="1040" width="9.5703125" style="1" bestFit="1" customWidth="1"/>
    <col min="1041" max="1281" width="22.140625" style="1"/>
    <col min="1282" max="1282" width="7.140625" style="1" customWidth="1"/>
    <col min="1283" max="1283" width="11.7109375" style="1" bestFit="1" customWidth="1"/>
    <col min="1284" max="1284" width="20.85546875" style="1" bestFit="1" customWidth="1"/>
    <col min="1285" max="1285" width="19.85546875" style="1" bestFit="1" customWidth="1"/>
    <col min="1286" max="1286" width="15.85546875" style="1" customWidth="1"/>
    <col min="1287" max="1287" width="17.7109375" style="1" bestFit="1" customWidth="1"/>
    <col min="1288" max="1288" width="16.28515625" style="1" bestFit="1" customWidth="1"/>
    <col min="1289" max="1289" width="14.85546875" style="1" customWidth="1"/>
    <col min="1290" max="1290" width="20.5703125" style="1" bestFit="1" customWidth="1"/>
    <col min="1291" max="1291" width="37.140625" style="1" customWidth="1"/>
    <col min="1292" max="1292" width="4.5703125" style="1" bestFit="1" customWidth="1"/>
    <col min="1293" max="1293" width="4.7109375" style="1" bestFit="1" customWidth="1"/>
    <col min="1294" max="1295" width="8.5703125" style="1" bestFit="1" customWidth="1"/>
    <col min="1296" max="1296" width="9.5703125" style="1" bestFit="1" customWidth="1"/>
    <col min="1297" max="1537" width="22.140625" style="1"/>
    <col min="1538" max="1538" width="7.140625" style="1" customWidth="1"/>
    <col min="1539" max="1539" width="11.7109375" style="1" bestFit="1" customWidth="1"/>
    <col min="1540" max="1540" width="20.85546875" style="1" bestFit="1" customWidth="1"/>
    <col min="1541" max="1541" width="19.85546875" style="1" bestFit="1" customWidth="1"/>
    <col min="1542" max="1542" width="15.85546875" style="1" customWidth="1"/>
    <col min="1543" max="1543" width="17.7109375" style="1" bestFit="1" customWidth="1"/>
    <col min="1544" max="1544" width="16.28515625" style="1" bestFit="1" customWidth="1"/>
    <col min="1545" max="1545" width="14.85546875" style="1" customWidth="1"/>
    <col min="1546" max="1546" width="20.5703125" style="1" bestFit="1" customWidth="1"/>
    <col min="1547" max="1547" width="37.140625" style="1" customWidth="1"/>
    <col min="1548" max="1548" width="4.5703125" style="1" bestFit="1" customWidth="1"/>
    <col min="1549" max="1549" width="4.7109375" style="1" bestFit="1" customWidth="1"/>
    <col min="1550" max="1551" width="8.5703125" style="1" bestFit="1" customWidth="1"/>
    <col min="1552" max="1552" width="9.5703125" style="1" bestFit="1" customWidth="1"/>
    <col min="1553" max="1793" width="22.140625" style="1"/>
    <col min="1794" max="1794" width="7.140625" style="1" customWidth="1"/>
    <col min="1795" max="1795" width="11.7109375" style="1" bestFit="1" customWidth="1"/>
    <col min="1796" max="1796" width="20.85546875" style="1" bestFit="1" customWidth="1"/>
    <col min="1797" max="1797" width="19.85546875" style="1" bestFit="1" customWidth="1"/>
    <col min="1798" max="1798" width="15.85546875" style="1" customWidth="1"/>
    <col min="1799" max="1799" width="17.7109375" style="1" bestFit="1" customWidth="1"/>
    <col min="1800" max="1800" width="16.28515625" style="1" bestFit="1" customWidth="1"/>
    <col min="1801" max="1801" width="14.85546875" style="1" customWidth="1"/>
    <col min="1802" max="1802" width="20.5703125" style="1" bestFit="1" customWidth="1"/>
    <col min="1803" max="1803" width="37.140625" style="1" customWidth="1"/>
    <col min="1804" max="1804" width="4.5703125" style="1" bestFit="1" customWidth="1"/>
    <col min="1805" max="1805" width="4.7109375" style="1" bestFit="1" customWidth="1"/>
    <col min="1806" max="1807" width="8.5703125" style="1" bestFit="1" customWidth="1"/>
    <col min="1808" max="1808" width="9.5703125" style="1" bestFit="1" customWidth="1"/>
    <col min="1809" max="2049" width="22.140625" style="1"/>
    <col min="2050" max="2050" width="7.140625" style="1" customWidth="1"/>
    <col min="2051" max="2051" width="11.7109375" style="1" bestFit="1" customWidth="1"/>
    <col min="2052" max="2052" width="20.85546875" style="1" bestFit="1" customWidth="1"/>
    <col min="2053" max="2053" width="19.85546875" style="1" bestFit="1" customWidth="1"/>
    <col min="2054" max="2054" width="15.85546875" style="1" customWidth="1"/>
    <col min="2055" max="2055" width="17.7109375" style="1" bestFit="1" customWidth="1"/>
    <col min="2056" max="2056" width="16.28515625" style="1" bestFit="1" customWidth="1"/>
    <col min="2057" max="2057" width="14.85546875" style="1" customWidth="1"/>
    <col min="2058" max="2058" width="20.5703125" style="1" bestFit="1" customWidth="1"/>
    <col min="2059" max="2059" width="37.140625" style="1" customWidth="1"/>
    <col min="2060" max="2060" width="4.5703125" style="1" bestFit="1" customWidth="1"/>
    <col min="2061" max="2061" width="4.7109375" style="1" bestFit="1" customWidth="1"/>
    <col min="2062" max="2063" width="8.5703125" style="1" bestFit="1" customWidth="1"/>
    <col min="2064" max="2064" width="9.5703125" style="1" bestFit="1" customWidth="1"/>
    <col min="2065" max="2305" width="22.140625" style="1"/>
    <col min="2306" max="2306" width="7.140625" style="1" customWidth="1"/>
    <col min="2307" max="2307" width="11.7109375" style="1" bestFit="1" customWidth="1"/>
    <col min="2308" max="2308" width="20.85546875" style="1" bestFit="1" customWidth="1"/>
    <col min="2309" max="2309" width="19.85546875" style="1" bestFit="1" customWidth="1"/>
    <col min="2310" max="2310" width="15.85546875" style="1" customWidth="1"/>
    <col min="2311" max="2311" width="17.7109375" style="1" bestFit="1" customWidth="1"/>
    <col min="2312" max="2312" width="16.28515625" style="1" bestFit="1" customWidth="1"/>
    <col min="2313" max="2313" width="14.85546875" style="1" customWidth="1"/>
    <col min="2314" max="2314" width="20.5703125" style="1" bestFit="1" customWidth="1"/>
    <col min="2315" max="2315" width="37.140625" style="1" customWidth="1"/>
    <col min="2316" max="2316" width="4.5703125" style="1" bestFit="1" customWidth="1"/>
    <col min="2317" max="2317" width="4.7109375" style="1" bestFit="1" customWidth="1"/>
    <col min="2318" max="2319" width="8.5703125" style="1" bestFit="1" customWidth="1"/>
    <col min="2320" max="2320" width="9.5703125" style="1" bestFit="1" customWidth="1"/>
    <col min="2321" max="2561" width="22.140625" style="1"/>
    <col min="2562" max="2562" width="7.140625" style="1" customWidth="1"/>
    <col min="2563" max="2563" width="11.7109375" style="1" bestFit="1" customWidth="1"/>
    <col min="2564" max="2564" width="20.85546875" style="1" bestFit="1" customWidth="1"/>
    <col min="2565" max="2565" width="19.85546875" style="1" bestFit="1" customWidth="1"/>
    <col min="2566" max="2566" width="15.85546875" style="1" customWidth="1"/>
    <col min="2567" max="2567" width="17.7109375" style="1" bestFit="1" customWidth="1"/>
    <col min="2568" max="2568" width="16.28515625" style="1" bestFit="1" customWidth="1"/>
    <col min="2569" max="2569" width="14.85546875" style="1" customWidth="1"/>
    <col min="2570" max="2570" width="20.5703125" style="1" bestFit="1" customWidth="1"/>
    <col min="2571" max="2571" width="37.140625" style="1" customWidth="1"/>
    <col min="2572" max="2572" width="4.5703125" style="1" bestFit="1" customWidth="1"/>
    <col min="2573" max="2573" width="4.7109375" style="1" bestFit="1" customWidth="1"/>
    <col min="2574" max="2575" width="8.5703125" style="1" bestFit="1" customWidth="1"/>
    <col min="2576" max="2576" width="9.5703125" style="1" bestFit="1" customWidth="1"/>
    <col min="2577" max="2817" width="22.140625" style="1"/>
    <col min="2818" max="2818" width="7.140625" style="1" customWidth="1"/>
    <col min="2819" max="2819" width="11.7109375" style="1" bestFit="1" customWidth="1"/>
    <col min="2820" max="2820" width="20.85546875" style="1" bestFit="1" customWidth="1"/>
    <col min="2821" max="2821" width="19.85546875" style="1" bestFit="1" customWidth="1"/>
    <col min="2822" max="2822" width="15.85546875" style="1" customWidth="1"/>
    <col min="2823" max="2823" width="17.7109375" style="1" bestFit="1" customWidth="1"/>
    <col min="2824" max="2824" width="16.28515625" style="1" bestFit="1" customWidth="1"/>
    <col min="2825" max="2825" width="14.85546875" style="1" customWidth="1"/>
    <col min="2826" max="2826" width="20.5703125" style="1" bestFit="1" customWidth="1"/>
    <col min="2827" max="2827" width="37.140625" style="1" customWidth="1"/>
    <col min="2828" max="2828" width="4.5703125" style="1" bestFit="1" customWidth="1"/>
    <col min="2829" max="2829" width="4.7109375" style="1" bestFit="1" customWidth="1"/>
    <col min="2830" max="2831" width="8.5703125" style="1" bestFit="1" customWidth="1"/>
    <col min="2832" max="2832" width="9.5703125" style="1" bestFit="1" customWidth="1"/>
    <col min="2833" max="3073" width="22.140625" style="1"/>
    <col min="3074" max="3074" width="7.140625" style="1" customWidth="1"/>
    <col min="3075" max="3075" width="11.7109375" style="1" bestFit="1" customWidth="1"/>
    <col min="3076" max="3076" width="20.85546875" style="1" bestFit="1" customWidth="1"/>
    <col min="3077" max="3077" width="19.85546875" style="1" bestFit="1" customWidth="1"/>
    <col min="3078" max="3078" width="15.85546875" style="1" customWidth="1"/>
    <col min="3079" max="3079" width="17.7109375" style="1" bestFit="1" customWidth="1"/>
    <col min="3080" max="3080" width="16.28515625" style="1" bestFit="1" customWidth="1"/>
    <col min="3081" max="3081" width="14.85546875" style="1" customWidth="1"/>
    <col min="3082" max="3082" width="20.5703125" style="1" bestFit="1" customWidth="1"/>
    <col min="3083" max="3083" width="37.140625" style="1" customWidth="1"/>
    <col min="3084" max="3084" width="4.5703125" style="1" bestFit="1" customWidth="1"/>
    <col min="3085" max="3085" width="4.7109375" style="1" bestFit="1" customWidth="1"/>
    <col min="3086" max="3087" width="8.5703125" style="1" bestFit="1" customWidth="1"/>
    <col min="3088" max="3088" width="9.5703125" style="1" bestFit="1" customWidth="1"/>
    <col min="3089" max="3329" width="22.140625" style="1"/>
    <col min="3330" max="3330" width="7.140625" style="1" customWidth="1"/>
    <col min="3331" max="3331" width="11.7109375" style="1" bestFit="1" customWidth="1"/>
    <col min="3332" max="3332" width="20.85546875" style="1" bestFit="1" customWidth="1"/>
    <col min="3333" max="3333" width="19.85546875" style="1" bestFit="1" customWidth="1"/>
    <col min="3334" max="3334" width="15.85546875" style="1" customWidth="1"/>
    <col min="3335" max="3335" width="17.7109375" style="1" bestFit="1" customWidth="1"/>
    <col min="3336" max="3336" width="16.28515625" style="1" bestFit="1" customWidth="1"/>
    <col min="3337" max="3337" width="14.85546875" style="1" customWidth="1"/>
    <col min="3338" max="3338" width="20.5703125" style="1" bestFit="1" customWidth="1"/>
    <col min="3339" max="3339" width="37.140625" style="1" customWidth="1"/>
    <col min="3340" max="3340" width="4.5703125" style="1" bestFit="1" customWidth="1"/>
    <col min="3341" max="3341" width="4.7109375" style="1" bestFit="1" customWidth="1"/>
    <col min="3342" max="3343" width="8.5703125" style="1" bestFit="1" customWidth="1"/>
    <col min="3344" max="3344" width="9.5703125" style="1" bestFit="1" customWidth="1"/>
    <col min="3345" max="3585" width="22.140625" style="1"/>
    <col min="3586" max="3586" width="7.140625" style="1" customWidth="1"/>
    <col min="3587" max="3587" width="11.7109375" style="1" bestFit="1" customWidth="1"/>
    <col min="3588" max="3588" width="20.85546875" style="1" bestFit="1" customWidth="1"/>
    <col min="3589" max="3589" width="19.85546875" style="1" bestFit="1" customWidth="1"/>
    <col min="3590" max="3590" width="15.85546875" style="1" customWidth="1"/>
    <col min="3591" max="3591" width="17.7109375" style="1" bestFit="1" customWidth="1"/>
    <col min="3592" max="3592" width="16.28515625" style="1" bestFit="1" customWidth="1"/>
    <col min="3593" max="3593" width="14.85546875" style="1" customWidth="1"/>
    <col min="3594" max="3594" width="20.5703125" style="1" bestFit="1" customWidth="1"/>
    <col min="3595" max="3595" width="37.140625" style="1" customWidth="1"/>
    <col min="3596" max="3596" width="4.5703125" style="1" bestFit="1" customWidth="1"/>
    <col min="3597" max="3597" width="4.7109375" style="1" bestFit="1" customWidth="1"/>
    <col min="3598" max="3599" width="8.5703125" style="1" bestFit="1" customWidth="1"/>
    <col min="3600" max="3600" width="9.5703125" style="1" bestFit="1" customWidth="1"/>
    <col min="3601" max="3841" width="22.140625" style="1"/>
    <col min="3842" max="3842" width="7.140625" style="1" customWidth="1"/>
    <col min="3843" max="3843" width="11.7109375" style="1" bestFit="1" customWidth="1"/>
    <col min="3844" max="3844" width="20.85546875" style="1" bestFit="1" customWidth="1"/>
    <col min="3845" max="3845" width="19.85546875" style="1" bestFit="1" customWidth="1"/>
    <col min="3846" max="3846" width="15.85546875" style="1" customWidth="1"/>
    <col min="3847" max="3847" width="17.7109375" style="1" bestFit="1" customWidth="1"/>
    <col min="3848" max="3848" width="16.28515625" style="1" bestFit="1" customWidth="1"/>
    <col min="3849" max="3849" width="14.85546875" style="1" customWidth="1"/>
    <col min="3850" max="3850" width="20.5703125" style="1" bestFit="1" customWidth="1"/>
    <col min="3851" max="3851" width="37.140625" style="1" customWidth="1"/>
    <col min="3852" max="3852" width="4.5703125" style="1" bestFit="1" customWidth="1"/>
    <col min="3853" max="3853" width="4.7109375" style="1" bestFit="1" customWidth="1"/>
    <col min="3854" max="3855" width="8.5703125" style="1" bestFit="1" customWidth="1"/>
    <col min="3856" max="3856" width="9.5703125" style="1" bestFit="1" customWidth="1"/>
    <col min="3857" max="4097" width="22.140625" style="1"/>
    <col min="4098" max="4098" width="7.140625" style="1" customWidth="1"/>
    <col min="4099" max="4099" width="11.7109375" style="1" bestFit="1" customWidth="1"/>
    <col min="4100" max="4100" width="20.85546875" style="1" bestFit="1" customWidth="1"/>
    <col min="4101" max="4101" width="19.85546875" style="1" bestFit="1" customWidth="1"/>
    <col min="4102" max="4102" width="15.85546875" style="1" customWidth="1"/>
    <col min="4103" max="4103" width="17.7109375" style="1" bestFit="1" customWidth="1"/>
    <col min="4104" max="4104" width="16.28515625" style="1" bestFit="1" customWidth="1"/>
    <col min="4105" max="4105" width="14.85546875" style="1" customWidth="1"/>
    <col min="4106" max="4106" width="20.5703125" style="1" bestFit="1" customWidth="1"/>
    <col min="4107" max="4107" width="37.140625" style="1" customWidth="1"/>
    <col min="4108" max="4108" width="4.5703125" style="1" bestFit="1" customWidth="1"/>
    <col min="4109" max="4109" width="4.7109375" style="1" bestFit="1" customWidth="1"/>
    <col min="4110" max="4111" width="8.5703125" style="1" bestFit="1" customWidth="1"/>
    <col min="4112" max="4112" width="9.5703125" style="1" bestFit="1" customWidth="1"/>
    <col min="4113" max="4353" width="22.140625" style="1"/>
    <col min="4354" max="4354" width="7.140625" style="1" customWidth="1"/>
    <col min="4355" max="4355" width="11.7109375" style="1" bestFit="1" customWidth="1"/>
    <col min="4356" max="4356" width="20.85546875" style="1" bestFit="1" customWidth="1"/>
    <col min="4357" max="4357" width="19.85546875" style="1" bestFit="1" customWidth="1"/>
    <col min="4358" max="4358" width="15.85546875" style="1" customWidth="1"/>
    <col min="4359" max="4359" width="17.7109375" style="1" bestFit="1" customWidth="1"/>
    <col min="4360" max="4360" width="16.28515625" style="1" bestFit="1" customWidth="1"/>
    <col min="4361" max="4361" width="14.85546875" style="1" customWidth="1"/>
    <col min="4362" max="4362" width="20.5703125" style="1" bestFit="1" customWidth="1"/>
    <col min="4363" max="4363" width="37.140625" style="1" customWidth="1"/>
    <col min="4364" max="4364" width="4.5703125" style="1" bestFit="1" customWidth="1"/>
    <col min="4365" max="4365" width="4.7109375" style="1" bestFit="1" customWidth="1"/>
    <col min="4366" max="4367" width="8.5703125" style="1" bestFit="1" customWidth="1"/>
    <col min="4368" max="4368" width="9.5703125" style="1" bestFit="1" customWidth="1"/>
    <col min="4369" max="4609" width="22.140625" style="1"/>
    <col min="4610" max="4610" width="7.140625" style="1" customWidth="1"/>
    <col min="4611" max="4611" width="11.7109375" style="1" bestFit="1" customWidth="1"/>
    <col min="4612" max="4612" width="20.85546875" style="1" bestFit="1" customWidth="1"/>
    <col min="4613" max="4613" width="19.85546875" style="1" bestFit="1" customWidth="1"/>
    <col min="4614" max="4614" width="15.85546875" style="1" customWidth="1"/>
    <col min="4615" max="4615" width="17.7109375" style="1" bestFit="1" customWidth="1"/>
    <col min="4616" max="4616" width="16.28515625" style="1" bestFit="1" customWidth="1"/>
    <col min="4617" max="4617" width="14.85546875" style="1" customWidth="1"/>
    <col min="4618" max="4618" width="20.5703125" style="1" bestFit="1" customWidth="1"/>
    <col min="4619" max="4619" width="37.140625" style="1" customWidth="1"/>
    <col min="4620" max="4620" width="4.5703125" style="1" bestFit="1" customWidth="1"/>
    <col min="4621" max="4621" width="4.7109375" style="1" bestFit="1" customWidth="1"/>
    <col min="4622" max="4623" width="8.5703125" style="1" bestFit="1" customWidth="1"/>
    <col min="4624" max="4624" width="9.5703125" style="1" bestFit="1" customWidth="1"/>
    <col min="4625" max="4865" width="22.140625" style="1"/>
    <col min="4866" max="4866" width="7.140625" style="1" customWidth="1"/>
    <col min="4867" max="4867" width="11.7109375" style="1" bestFit="1" customWidth="1"/>
    <col min="4868" max="4868" width="20.85546875" style="1" bestFit="1" customWidth="1"/>
    <col min="4869" max="4869" width="19.85546875" style="1" bestFit="1" customWidth="1"/>
    <col min="4870" max="4870" width="15.85546875" style="1" customWidth="1"/>
    <col min="4871" max="4871" width="17.7109375" style="1" bestFit="1" customWidth="1"/>
    <col min="4872" max="4872" width="16.28515625" style="1" bestFit="1" customWidth="1"/>
    <col min="4873" max="4873" width="14.85546875" style="1" customWidth="1"/>
    <col min="4874" max="4874" width="20.5703125" style="1" bestFit="1" customWidth="1"/>
    <col min="4875" max="4875" width="37.140625" style="1" customWidth="1"/>
    <col min="4876" max="4876" width="4.5703125" style="1" bestFit="1" customWidth="1"/>
    <col min="4877" max="4877" width="4.7109375" style="1" bestFit="1" customWidth="1"/>
    <col min="4878" max="4879" width="8.5703125" style="1" bestFit="1" customWidth="1"/>
    <col min="4880" max="4880" width="9.5703125" style="1" bestFit="1" customWidth="1"/>
    <col min="4881" max="5121" width="22.140625" style="1"/>
    <col min="5122" max="5122" width="7.140625" style="1" customWidth="1"/>
    <col min="5123" max="5123" width="11.7109375" style="1" bestFit="1" customWidth="1"/>
    <col min="5124" max="5124" width="20.85546875" style="1" bestFit="1" customWidth="1"/>
    <col min="5125" max="5125" width="19.85546875" style="1" bestFit="1" customWidth="1"/>
    <col min="5126" max="5126" width="15.85546875" style="1" customWidth="1"/>
    <col min="5127" max="5127" width="17.7109375" style="1" bestFit="1" customWidth="1"/>
    <col min="5128" max="5128" width="16.28515625" style="1" bestFit="1" customWidth="1"/>
    <col min="5129" max="5129" width="14.85546875" style="1" customWidth="1"/>
    <col min="5130" max="5130" width="20.5703125" style="1" bestFit="1" customWidth="1"/>
    <col min="5131" max="5131" width="37.140625" style="1" customWidth="1"/>
    <col min="5132" max="5132" width="4.5703125" style="1" bestFit="1" customWidth="1"/>
    <col min="5133" max="5133" width="4.7109375" style="1" bestFit="1" customWidth="1"/>
    <col min="5134" max="5135" width="8.5703125" style="1" bestFit="1" customWidth="1"/>
    <col min="5136" max="5136" width="9.5703125" style="1" bestFit="1" customWidth="1"/>
    <col min="5137" max="5377" width="22.140625" style="1"/>
    <col min="5378" max="5378" width="7.140625" style="1" customWidth="1"/>
    <col min="5379" max="5379" width="11.7109375" style="1" bestFit="1" customWidth="1"/>
    <col min="5380" max="5380" width="20.85546875" style="1" bestFit="1" customWidth="1"/>
    <col min="5381" max="5381" width="19.85546875" style="1" bestFit="1" customWidth="1"/>
    <col min="5382" max="5382" width="15.85546875" style="1" customWidth="1"/>
    <col min="5383" max="5383" width="17.7109375" style="1" bestFit="1" customWidth="1"/>
    <col min="5384" max="5384" width="16.28515625" style="1" bestFit="1" customWidth="1"/>
    <col min="5385" max="5385" width="14.85546875" style="1" customWidth="1"/>
    <col min="5386" max="5386" width="20.5703125" style="1" bestFit="1" customWidth="1"/>
    <col min="5387" max="5387" width="37.140625" style="1" customWidth="1"/>
    <col min="5388" max="5388" width="4.5703125" style="1" bestFit="1" customWidth="1"/>
    <col min="5389" max="5389" width="4.7109375" style="1" bestFit="1" customWidth="1"/>
    <col min="5390" max="5391" width="8.5703125" style="1" bestFit="1" customWidth="1"/>
    <col min="5392" max="5392" width="9.5703125" style="1" bestFit="1" customWidth="1"/>
    <col min="5393" max="5633" width="22.140625" style="1"/>
    <col min="5634" max="5634" width="7.140625" style="1" customWidth="1"/>
    <col min="5635" max="5635" width="11.7109375" style="1" bestFit="1" customWidth="1"/>
    <col min="5636" max="5636" width="20.85546875" style="1" bestFit="1" customWidth="1"/>
    <col min="5637" max="5637" width="19.85546875" style="1" bestFit="1" customWidth="1"/>
    <col min="5638" max="5638" width="15.85546875" style="1" customWidth="1"/>
    <col min="5639" max="5639" width="17.7109375" style="1" bestFit="1" customWidth="1"/>
    <col min="5640" max="5640" width="16.28515625" style="1" bestFit="1" customWidth="1"/>
    <col min="5641" max="5641" width="14.85546875" style="1" customWidth="1"/>
    <col min="5642" max="5642" width="20.5703125" style="1" bestFit="1" customWidth="1"/>
    <col min="5643" max="5643" width="37.140625" style="1" customWidth="1"/>
    <col min="5644" max="5644" width="4.5703125" style="1" bestFit="1" customWidth="1"/>
    <col min="5645" max="5645" width="4.7109375" style="1" bestFit="1" customWidth="1"/>
    <col min="5646" max="5647" width="8.5703125" style="1" bestFit="1" customWidth="1"/>
    <col min="5648" max="5648" width="9.5703125" style="1" bestFit="1" customWidth="1"/>
    <col min="5649" max="5889" width="22.140625" style="1"/>
    <col min="5890" max="5890" width="7.140625" style="1" customWidth="1"/>
    <col min="5891" max="5891" width="11.7109375" style="1" bestFit="1" customWidth="1"/>
    <col min="5892" max="5892" width="20.85546875" style="1" bestFit="1" customWidth="1"/>
    <col min="5893" max="5893" width="19.85546875" style="1" bestFit="1" customWidth="1"/>
    <col min="5894" max="5894" width="15.85546875" style="1" customWidth="1"/>
    <col min="5895" max="5895" width="17.7109375" style="1" bestFit="1" customWidth="1"/>
    <col min="5896" max="5896" width="16.28515625" style="1" bestFit="1" customWidth="1"/>
    <col min="5897" max="5897" width="14.85546875" style="1" customWidth="1"/>
    <col min="5898" max="5898" width="20.5703125" style="1" bestFit="1" customWidth="1"/>
    <col min="5899" max="5899" width="37.140625" style="1" customWidth="1"/>
    <col min="5900" max="5900" width="4.5703125" style="1" bestFit="1" customWidth="1"/>
    <col min="5901" max="5901" width="4.7109375" style="1" bestFit="1" customWidth="1"/>
    <col min="5902" max="5903" width="8.5703125" style="1" bestFit="1" customWidth="1"/>
    <col min="5904" max="5904" width="9.5703125" style="1" bestFit="1" customWidth="1"/>
    <col min="5905" max="6145" width="22.140625" style="1"/>
    <col min="6146" max="6146" width="7.140625" style="1" customWidth="1"/>
    <col min="6147" max="6147" width="11.7109375" style="1" bestFit="1" customWidth="1"/>
    <col min="6148" max="6148" width="20.85546875" style="1" bestFit="1" customWidth="1"/>
    <col min="6149" max="6149" width="19.85546875" style="1" bestFit="1" customWidth="1"/>
    <col min="6150" max="6150" width="15.85546875" style="1" customWidth="1"/>
    <col min="6151" max="6151" width="17.7109375" style="1" bestFit="1" customWidth="1"/>
    <col min="6152" max="6152" width="16.28515625" style="1" bestFit="1" customWidth="1"/>
    <col min="6153" max="6153" width="14.85546875" style="1" customWidth="1"/>
    <col min="6154" max="6154" width="20.5703125" style="1" bestFit="1" customWidth="1"/>
    <col min="6155" max="6155" width="37.140625" style="1" customWidth="1"/>
    <col min="6156" max="6156" width="4.5703125" style="1" bestFit="1" customWidth="1"/>
    <col min="6157" max="6157" width="4.7109375" style="1" bestFit="1" customWidth="1"/>
    <col min="6158" max="6159" width="8.5703125" style="1" bestFit="1" customWidth="1"/>
    <col min="6160" max="6160" width="9.5703125" style="1" bestFit="1" customWidth="1"/>
    <col min="6161" max="6401" width="22.140625" style="1"/>
    <col min="6402" max="6402" width="7.140625" style="1" customWidth="1"/>
    <col min="6403" max="6403" width="11.7109375" style="1" bestFit="1" customWidth="1"/>
    <col min="6404" max="6404" width="20.85546875" style="1" bestFit="1" customWidth="1"/>
    <col min="6405" max="6405" width="19.85546875" style="1" bestFit="1" customWidth="1"/>
    <col min="6406" max="6406" width="15.85546875" style="1" customWidth="1"/>
    <col min="6407" max="6407" width="17.7109375" style="1" bestFit="1" customWidth="1"/>
    <col min="6408" max="6408" width="16.28515625" style="1" bestFit="1" customWidth="1"/>
    <col min="6409" max="6409" width="14.85546875" style="1" customWidth="1"/>
    <col min="6410" max="6410" width="20.5703125" style="1" bestFit="1" customWidth="1"/>
    <col min="6411" max="6411" width="37.140625" style="1" customWidth="1"/>
    <col min="6412" max="6412" width="4.5703125" style="1" bestFit="1" customWidth="1"/>
    <col min="6413" max="6413" width="4.7109375" style="1" bestFit="1" customWidth="1"/>
    <col min="6414" max="6415" width="8.5703125" style="1" bestFit="1" customWidth="1"/>
    <col min="6416" max="6416" width="9.5703125" style="1" bestFit="1" customWidth="1"/>
    <col min="6417" max="6657" width="22.140625" style="1"/>
    <col min="6658" max="6658" width="7.140625" style="1" customWidth="1"/>
    <col min="6659" max="6659" width="11.7109375" style="1" bestFit="1" customWidth="1"/>
    <col min="6660" max="6660" width="20.85546875" style="1" bestFit="1" customWidth="1"/>
    <col min="6661" max="6661" width="19.85546875" style="1" bestFit="1" customWidth="1"/>
    <col min="6662" max="6662" width="15.85546875" style="1" customWidth="1"/>
    <col min="6663" max="6663" width="17.7109375" style="1" bestFit="1" customWidth="1"/>
    <col min="6664" max="6664" width="16.28515625" style="1" bestFit="1" customWidth="1"/>
    <col min="6665" max="6665" width="14.85546875" style="1" customWidth="1"/>
    <col min="6666" max="6666" width="20.5703125" style="1" bestFit="1" customWidth="1"/>
    <col min="6667" max="6667" width="37.140625" style="1" customWidth="1"/>
    <col min="6668" max="6668" width="4.5703125" style="1" bestFit="1" customWidth="1"/>
    <col min="6669" max="6669" width="4.7109375" style="1" bestFit="1" customWidth="1"/>
    <col min="6670" max="6671" width="8.5703125" style="1" bestFit="1" customWidth="1"/>
    <col min="6672" max="6672" width="9.5703125" style="1" bestFit="1" customWidth="1"/>
    <col min="6673" max="6913" width="22.140625" style="1"/>
    <col min="6914" max="6914" width="7.140625" style="1" customWidth="1"/>
    <col min="6915" max="6915" width="11.7109375" style="1" bestFit="1" customWidth="1"/>
    <col min="6916" max="6916" width="20.85546875" style="1" bestFit="1" customWidth="1"/>
    <col min="6917" max="6917" width="19.85546875" style="1" bestFit="1" customWidth="1"/>
    <col min="6918" max="6918" width="15.85546875" style="1" customWidth="1"/>
    <col min="6919" max="6919" width="17.7109375" style="1" bestFit="1" customWidth="1"/>
    <col min="6920" max="6920" width="16.28515625" style="1" bestFit="1" customWidth="1"/>
    <col min="6921" max="6921" width="14.85546875" style="1" customWidth="1"/>
    <col min="6922" max="6922" width="20.5703125" style="1" bestFit="1" customWidth="1"/>
    <col min="6923" max="6923" width="37.140625" style="1" customWidth="1"/>
    <col min="6924" max="6924" width="4.5703125" style="1" bestFit="1" customWidth="1"/>
    <col min="6925" max="6925" width="4.7109375" style="1" bestFit="1" customWidth="1"/>
    <col min="6926" max="6927" width="8.5703125" style="1" bestFit="1" customWidth="1"/>
    <col min="6928" max="6928" width="9.5703125" style="1" bestFit="1" customWidth="1"/>
    <col min="6929" max="7169" width="22.140625" style="1"/>
    <col min="7170" max="7170" width="7.140625" style="1" customWidth="1"/>
    <col min="7171" max="7171" width="11.7109375" style="1" bestFit="1" customWidth="1"/>
    <col min="7172" max="7172" width="20.85546875" style="1" bestFit="1" customWidth="1"/>
    <col min="7173" max="7173" width="19.85546875" style="1" bestFit="1" customWidth="1"/>
    <col min="7174" max="7174" width="15.85546875" style="1" customWidth="1"/>
    <col min="7175" max="7175" width="17.7109375" style="1" bestFit="1" customWidth="1"/>
    <col min="7176" max="7176" width="16.28515625" style="1" bestFit="1" customWidth="1"/>
    <col min="7177" max="7177" width="14.85546875" style="1" customWidth="1"/>
    <col min="7178" max="7178" width="20.5703125" style="1" bestFit="1" customWidth="1"/>
    <col min="7179" max="7179" width="37.140625" style="1" customWidth="1"/>
    <col min="7180" max="7180" width="4.5703125" style="1" bestFit="1" customWidth="1"/>
    <col min="7181" max="7181" width="4.7109375" style="1" bestFit="1" customWidth="1"/>
    <col min="7182" max="7183" width="8.5703125" style="1" bestFit="1" customWidth="1"/>
    <col min="7184" max="7184" width="9.5703125" style="1" bestFit="1" customWidth="1"/>
    <col min="7185" max="7425" width="22.140625" style="1"/>
    <col min="7426" max="7426" width="7.140625" style="1" customWidth="1"/>
    <col min="7427" max="7427" width="11.7109375" style="1" bestFit="1" customWidth="1"/>
    <col min="7428" max="7428" width="20.85546875" style="1" bestFit="1" customWidth="1"/>
    <col min="7429" max="7429" width="19.85546875" style="1" bestFit="1" customWidth="1"/>
    <col min="7430" max="7430" width="15.85546875" style="1" customWidth="1"/>
    <col min="7431" max="7431" width="17.7109375" style="1" bestFit="1" customWidth="1"/>
    <col min="7432" max="7432" width="16.28515625" style="1" bestFit="1" customWidth="1"/>
    <col min="7433" max="7433" width="14.85546875" style="1" customWidth="1"/>
    <col min="7434" max="7434" width="20.5703125" style="1" bestFit="1" customWidth="1"/>
    <col min="7435" max="7435" width="37.140625" style="1" customWidth="1"/>
    <col min="7436" max="7436" width="4.5703125" style="1" bestFit="1" customWidth="1"/>
    <col min="7437" max="7437" width="4.7109375" style="1" bestFit="1" customWidth="1"/>
    <col min="7438" max="7439" width="8.5703125" style="1" bestFit="1" customWidth="1"/>
    <col min="7440" max="7440" width="9.5703125" style="1" bestFit="1" customWidth="1"/>
    <col min="7441" max="7681" width="22.140625" style="1"/>
    <col min="7682" max="7682" width="7.140625" style="1" customWidth="1"/>
    <col min="7683" max="7683" width="11.7109375" style="1" bestFit="1" customWidth="1"/>
    <col min="7684" max="7684" width="20.85546875" style="1" bestFit="1" customWidth="1"/>
    <col min="7685" max="7685" width="19.85546875" style="1" bestFit="1" customWidth="1"/>
    <col min="7686" max="7686" width="15.85546875" style="1" customWidth="1"/>
    <col min="7687" max="7687" width="17.7109375" style="1" bestFit="1" customWidth="1"/>
    <col min="7688" max="7688" width="16.28515625" style="1" bestFit="1" customWidth="1"/>
    <col min="7689" max="7689" width="14.85546875" style="1" customWidth="1"/>
    <col min="7690" max="7690" width="20.5703125" style="1" bestFit="1" customWidth="1"/>
    <col min="7691" max="7691" width="37.140625" style="1" customWidth="1"/>
    <col min="7692" max="7692" width="4.5703125" style="1" bestFit="1" customWidth="1"/>
    <col min="7693" max="7693" width="4.7109375" style="1" bestFit="1" customWidth="1"/>
    <col min="7694" max="7695" width="8.5703125" style="1" bestFit="1" customWidth="1"/>
    <col min="7696" max="7696" width="9.5703125" style="1" bestFit="1" customWidth="1"/>
    <col min="7697" max="7937" width="22.140625" style="1"/>
    <col min="7938" max="7938" width="7.140625" style="1" customWidth="1"/>
    <col min="7939" max="7939" width="11.7109375" style="1" bestFit="1" customWidth="1"/>
    <col min="7940" max="7940" width="20.85546875" style="1" bestFit="1" customWidth="1"/>
    <col min="7941" max="7941" width="19.85546875" style="1" bestFit="1" customWidth="1"/>
    <col min="7942" max="7942" width="15.85546875" style="1" customWidth="1"/>
    <col min="7943" max="7943" width="17.7109375" style="1" bestFit="1" customWidth="1"/>
    <col min="7944" max="7944" width="16.28515625" style="1" bestFit="1" customWidth="1"/>
    <col min="7945" max="7945" width="14.85546875" style="1" customWidth="1"/>
    <col min="7946" max="7946" width="20.5703125" style="1" bestFit="1" customWidth="1"/>
    <col min="7947" max="7947" width="37.140625" style="1" customWidth="1"/>
    <col min="7948" max="7948" width="4.5703125" style="1" bestFit="1" customWidth="1"/>
    <col min="7949" max="7949" width="4.7109375" style="1" bestFit="1" customWidth="1"/>
    <col min="7950" max="7951" width="8.5703125" style="1" bestFit="1" customWidth="1"/>
    <col min="7952" max="7952" width="9.5703125" style="1" bestFit="1" customWidth="1"/>
    <col min="7953" max="8193" width="22.140625" style="1"/>
    <col min="8194" max="8194" width="7.140625" style="1" customWidth="1"/>
    <col min="8195" max="8195" width="11.7109375" style="1" bestFit="1" customWidth="1"/>
    <col min="8196" max="8196" width="20.85546875" style="1" bestFit="1" customWidth="1"/>
    <col min="8197" max="8197" width="19.85546875" style="1" bestFit="1" customWidth="1"/>
    <col min="8198" max="8198" width="15.85546875" style="1" customWidth="1"/>
    <col min="8199" max="8199" width="17.7109375" style="1" bestFit="1" customWidth="1"/>
    <col min="8200" max="8200" width="16.28515625" style="1" bestFit="1" customWidth="1"/>
    <col min="8201" max="8201" width="14.85546875" style="1" customWidth="1"/>
    <col min="8202" max="8202" width="20.5703125" style="1" bestFit="1" customWidth="1"/>
    <col min="8203" max="8203" width="37.140625" style="1" customWidth="1"/>
    <col min="8204" max="8204" width="4.5703125" style="1" bestFit="1" customWidth="1"/>
    <col min="8205" max="8205" width="4.7109375" style="1" bestFit="1" customWidth="1"/>
    <col min="8206" max="8207" width="8.5703125" style="1" bestFit="1" customWidth="1"/>
    <col min="8208" max="8208" width="9.5703125" style="1" bestFit="1" customWidth="1"/>
    <col min="8209" max="8449" width="22.140625" style="1"/>
    <col min="8450" max="8450" width="7.140625" style="1" customWidth="1"/>
    <col min="8451" max="8451" width="11.7109375" style="1" bestFit="1" customWidth="1"/>
    <col min="8452" max="8452" width="20.85546875" style="1" bestFit="1" customWidth="1"/>
    <col min="8453" max="8453" width="19.85546875" style="1" bestFit="1" customWidth="1"/>
    <col min="8454" max="8454" width="15.85546875" style="1" customWidth="1"/>
    <col min="8455" max="8455" width="17.7109375" style="1" bestFit="1" customWidth="1"/>
    <col min="8456" max="8456" width="16.28515625" style="1" bestFit="1" customWidth="1"/>
    <col min="8457" max="8457" width="14.85546875" style="1" customWidth="1"/>
    <col min="8458" max="8458" width="20.5703125" style="1" bestFit="1" customWidth="1"/>
    <col min="8459" max="8459" width="37.140625" style="1" customWidth="1"/>
    <col min="8460" max="8460" width="4.5703125" style="1" bestFit="1" customWidth="1"/>
    <col min="8461" max="8461" width="4.7109375" style="1" bestFit="1" customWidth="1"/>
    <col min="8462" max="8463" width="8.5703125" style="1" bestFit="1" customWidth="1"/>
    <col min="8464" max="8464" width="9.5703125" style="1" bestFit="1" customWidth="1"/>
    <col min="8465" max="8705" width="22.140625" style="1"/>
    <col min="8706" max="8706" width="7.140625" style="1" customWidth="1"/>
    <col min="8707" max="8707" width="11.7109375" style="1" bestFit="1" customWidth="1"/>
    <col min="8708" max="8708" width="20.85546875" style="1" bestFit="1" customWidth="1"/>
    <col min="8709" max="8709" width="19.85546875" style="1" bestFit="1" customWidth="1"/>
    <col min="8710" max="8710" width="15.85546875" style="1" customWidth="1"/>
    <col min="8711" max="8711" width="17.7109375" style="1" bestFit="1" customWidth="1"/>
    <col min="8712" max="8712" width="16.28515625" style="1" bestFit="1" customWidth="1"/>
    <col min="8713" max="8713" width="14.85546875" style="1" customWidth="1"/>
    <col min="8714" max="8714" width="20.5703125" style="1" bestFit="1" customWidth="1"/>
    <col min="8715" max="8715" width="37.140625" style="1" customWidth="1"/>
    <col min="8716" max="8716" width="4.5703125" style="1" bestFit="1" customWidth="1"/>
    <col min="8717" max="8717" width="4.7109375" style="1" bestFit="1" customWidth="1"/>
    <col min="8718" max="8719" width="8.5703125" style="1" bestFit="1" customWidth="1"/>
    <col min="8720" max="8720" width="9.5703125" style="1" bestFit="1" customWidth="1"/>
    <col min="8721" max="8961" width="22.140625" style="1"/>
    <col min="8962" max="8962" width="7.140625" style="1" customWidth="1"/>
    <col min="8963" max="8963" width="11.7109375" style="1" bestFit="1" customWidth="1"/>
    <col min="8964" max="8964" width="20.85546875" style="1" bestFit="1" customWidth="1"/>
    <col min="8965" max="8965" width="19.85546875" style="1" bestFit="1" customWidth="1"/>
    <col min="8966" max="8966" width="15.85546875" style="1" customWidth="1"/>
    <col min="8967" max="8967" width="17.7109375" style="1" bestFit="1" customWidth="1"/>
    <col min="8968" max="8968" width="16.28515625" style="1" bestFit="1" customWidth="1"/>
    <col min="8969" max="8969" width="14.85546875" style="1" customWidth="1"/>
    <col min="8970" max="8970" width="20.5703125" style="1" bestFit="1" customWidth="1"/>
    <col min="8971" max="8971" width="37.140625" style="1" customWidth="1"/>
    <col min="8972" max="8972" width="4.5703125" style="1" bestFit="1" customWidth="1"/>
    <col min="8973" max="8973" width="4.7109375" style="1" bestFit="1" customWidth="1"/>
    <col min="8974" max="8975" width="8.5703125" style="1" bestFit="1" customWidth="1"/>
    <col min="8976" max="8976" width="9.5703125" style="1" bestFit="1" customWidth="1"/>
    <col min="8977" max="9217" width="22.140625" style="1"/>
    <col min="9218" max="9218" width="7.140625" style="1" customWidth="1"/>
    <col min="9219" max="9219" width="11.7109375" style="1" bestFit="1" customWidth="1"/>
    <col min="9220" max="9220" width="20.85546875" style="1" bestFit="1" customWidth="1"/>
    <col min="9221" max="9221" width="19.85546875" style="1" bestFit="1" customWidth="1"/>
    <col min="9222" max="9222" width="15.85546875" style="1" customWidth="1"/>
    <col min="9223" max="9223" width="17.7109375" style="1" bestFit="1" customWidth="1"/>
    <col min="9224" max="9224" width="16.28515625" style="1" bestFit="1" customWidth="1"/>
    <col min="9225" max="9225" width="14.85546875" style="1" customWidth="1"/>
    <col min="9226" max="9226" width="20.5703125" style="1" bestFit="1" customWidth="1"/>
    <col min="9227" max="9227" width="37.140625" style="1" customWidth="1"/>
    <col min="9228" max="9228" width="4.5703125" style="1" bestFit="1" customWidth="1"/>
    <col min="9229" max="9229" width="4.7109375" style="1" bestFit="1" customWidth="1"/>
    <col min="9230" max="9231" width="8.5703125" style="1" bestFit="1" customWidth="1"/>
    <col min="9232" max="9232" width="9.5703125" style="1" bestFit="1" customWidth="1"/>
    <col min="9233" max="9473" width="22.140625" style="1"/>
    <col min="9474" max="9474" width="7.140625" style="1" customWidth="1"/>
    <col min="9475" max="9475" width="11.7109375" style="1" bestFit="1" customWidth="1"/>
    <col min="9476" max="9476" width="20.85546875" style="1" bestFit="1" customWidth="1"/>
    <col min="9477" max="9477" width="19.85546875" style="1" bestFit="1" customWidth="1"/>
    <col min="9478" max="9478" width="15.85546875" style="1" customWidth="1"/>
    <col min="9479" max="9479" width="17.7109375" style="1" bestFit="1" customWidth="1"/>
    <col min="9480" max="9480" width="16.28515625" style="1" bestFit="1" customWidth="1"/>
    <col min="9481" max="9481" width="14.85546875" style="1" customWidth="1"/>
    <col min="9482" max="9482" width="20.5703125" style="1" bestFit="1" customWidth="1"/>
    <col min="9483" max="9483" width="37.140625" style="1" customWidth="1"/>
    <col min="9484" max="9484" width="4.5703125" style="1" bestFit="1" customWidth="1"/>
    <col min="9485" max="9485" width="4.7109375" style="1" bestFit="1" customWidth="1"/>
    <col min="9486" max="9487" width="8.5703125" style="1" bestFit="1" customWidth="1"/>
    <col min="9488" max="9488" width="9.5703125" style="1" bestFit="1" customWidth="1"/>
    <col min="9489" max="9729" width="22.140625" style="1"/>
    <col min="9730" max="9730" width="7.140625" style="1" customWidth="1"/>
    <col min="9731" max="9731" width="11.7109375" style="1" bestFit="1" customWidth="1"/>
    <col min="9732" max="9732" width="20.85546875" style="1" bestFit="1" customWidth="1"/>
    <col min="9733" max="9733" width="19.85546875" style="1" bestFit="1" customWidth="1"/>
    <col min="9734" max="9734" width="15.85546875" style="1" customWidth="1"/>
    <col min="9735" max="9735" width="17.7109375" style="1" bestFit="1" customWidth="1"/>
    <col min="9736" max="9736" width="16.28515625" style="1" bestFit="1" customWidth="1"/>
    <col min="9737" max="9737" width="14.85546875" style="1" customWidth="1"/>
    <col min="9738" max="9738" width="20.5703125" style="1" bestFit="1" customWidth="1"/>
    <col min="9739" max="9739" width="37.140625" style="1" customWidth="1"/>
    <col min="9740" max="9740" width="4.5703125" style="1" bestFit="1" customWidth="1"/>
    <col min="9741" max="9741" width="4.7109375" style="1" bestFit="1" customWidth="1"/>
    <col min="9742" max="9743" width="8.5703125" style="1" bestFit="1" customWidth="1"/>
    <col min="9744" max="9744" width="9.5703125" style="1" bestFit="1" customWidth="1"/>
    <col min="9745" max="9985" width="22.140625" style="1"/>
    <col min="9986" max="9986" width="7.140625" style="1" customWidth="1"/>
    <col min="9987" max="9987" width="11.7109375" style="1" bestFit="1" customWidth="1"/>
    <col min="9988" max="9988" width="20.85546875" style="1" bestFit="1" customWidth="1"/>
    <col min="9989" max="9989" width="19.85546875" style="1" bestFit="1" customWidth="1"/>
    <col min="9990" max="9990" width="15.85546875" style="1" customWidth="1"/>
    <col min="9991" max="9991" width="17.7109375" style="1" bestFit="1" customWidth="1"/>
    <col min="9992" max="9992" width="16.28515625" style="1" bestFit="1" customWidth="1"/>
    <col min="9993" max="9993" width="14.85546875" style="1" customWidth="1"/>
    <col min="9994" max="9994" width="20.5703125" style="1" bestFit="1" customWidth="1"/>
    <col min="9995" max="9995" width="37.140625" style="1" customWidth="1"/>
    <col min="9996" max="9996" width="4.5703125" style="1" bestFit="1" customWidth="1"/>
    <col min="9997" max="9997" width="4.7109375" style="1" bestFit="1" customWidth="1"/>
    <col min="9998" max="9999" width="8.5703125" style="1" bestFit="1" customWidth="1"/>
    <col min="10000" max="10000" width="9.5703125" style="1" bestFit="1" customWidth="1"/>
    <col min="10001" max="10241" width="22.140625" style="1"/>
    <col min="10242" max="10242" width="7.140625" style="1" customWidth="1"/>
    <col min="10243" max="10243" width="11.7109375" style="1" bestFit="1" customWidth="1"/>
    <col min="10244" max="10244" width="20.85546875" style="1" bestFit="1" customWidth="1"/>
    <col min="10245" max="10245" width="19.85546875" style="1" bestFit="1" customWidth="1"/>
    <col min="10246" max="10246" width="15.85546875" style="1" customWidth="1"/>
    <col min="10247" max="10247" width="17.7109375" style="1" bestFit="1" customWidth="1"/>
    <col min="10248" max="10248" width="16.28515625" style="1" bestFit="1" customWidth="1"/>
    <col min="10249" max="10249" width="14.85546875" style="1" customWidth="1"/>
    <col min="10250" max="10250" width="20.5703125" style="1" bestFit="1" customWidth="1"/>
    <col min="10251" max="10251" width="37.140625" style="1" customWidth="1"/>
    <col min="10252" max="10252" width="4.5703125" style="1" bestFit="1" customWidth="1"/>
    <col min="10253" max="10253" width="4.7109375" style="1" bestFit="1" customWidth="1"/>
    <col min="10254" max="10255" width="8.5703125" style="1" bestFit="1" customWidth="1"/>
    <col min="10256" max="10256" width="9.5703125" style="1" bestFit="1" customWidth="1"/>
    <col min="10257" max="10497" width="22.140625" style="1"/>
    <col min="10498" max="10498" width="7.140625" style="1" customWidth="1"/>
    <col min="10499" max="10499" width="11.7109375" style="1" bestFit="1" customWidth="1"/>
    <col min="10500" max="10500" width="20.85546875" style="1" bestFit="1" customWidth="1"/>
    <col min="10501" max="10501" width="19.85546875" style="1" bestFit="1" customWidth="1"/>
    <col min="10502" max="10502" width="15.85546875" style="1" customWidth="1"/>
    <col min="10503" max="10503" width="17.7109375" style="1" bestFit="1" customWidth="1"/>
    <col min="10504" max="10504" width="16.28515625" style="1" bestFit="1" customWidth="1"/>
    <col min="10505" max="10505" width="14.85546875" style="1" customWidth="1"/>
    <col min="10506" max="10506" width="20.5703125" style="1" bestFit="1" customWidth="1"/>
    <col min="10507" max="10507" width="37.140625" style="1" customWidth="1"/>
    <col min="10508" max="10508" width="4.5703125" style="1" bestFit="1" customWidth="1"/>
    <col min="10509" max="10509" width="4.7109375" style="1" bestFit="1" customWidth="1"/>
    <col min="10510" max="10511" width="8.5703125" style="1" bestFit="1" customWidth="1"/>
    <col min="10512" max="10512" width="9.5703125" style="1" bestFit="1" customWidth="1"/>
    <col min="10513" max="10753" width="22.140625" style="1"/>
    <col min="10754" max="10754" width="7.140625" style="1" customWidth="1"/>
    <col min="10755" max="10755" width="11.7109375" style="1" bestFit="1" customWidth="1"/>
    <col min="10756" max="10756" width="20.85546875" style="1" bestFit="1" customWidth="1"/>
    <col min="10757" max="10757" width="19.85546875" style="1" bestFit="1" customWidth="1"/>
    <col min="10758" max="10758" width="15.85546875" style="1" customWidth="1"/>
    <col min="10759" max="10759" width="17.7109375" style="1" bestFit="1" customWidth="1"/>
    <col min="10760" max="10760" width="16.28515625" style="1" bestFit="1" customWidth="1"/>
    <col min="10761" max="10761" width="14.85546875" style="1" customWidth="1"/>
    <col min="10762" max="10762" width="20.5703125" style="1" bestFit="1" customWidth="1"/>
    <col min="10763" max="10763" width="37.140625" style="1" customWidth="1"/>
    <col min="10764" max="10764" width="4.5703125" style="1" bestFit="1" customWidth="1"/>
    <col min="10765" max="10765" width="4.7109375" style="1" bestFit="1" customWidth="1"/>
    <col min="10766" max="10767" width="8.5703125" style="1" bestFit="1" customWidth="1"/>
    <col min="10768" max="10768" width="9.5703125" style="1" bestFit="1" customWidth="1"/>
    <col min="10769" max="11009" width="22.140625" style="1"/>
    <col min="11010" max="11010" width="7.140625" style="1" customWidth="1"/>
    <col min="11011" max="11011" width="11.7109375" style="1" bestFit="1" customWidth="1"/>
    <col min="11012" max="11012" width="20.85546875" style="1" bestFit="1" customWidth="1"/>
    <col min="11013" max="11013" width="19.85546875" style="1" bestFit="1" customWidth="1"/>
    <col min="11014" max="11014" width="15.85546875" style="1" customWidth="1"/>
    <col min="11015" max="11015" width="17.7109375" style="1" bestFit="1" customWidth="1"/>
    <col min="11016" max="11016" width="16.28515625" style="1" bestFit="1" customWidth="1"/>
    <col min="11017" max="11017" width="14.85546875" style="1" customWidth="1"/>
    <col min="11018" max="11018" width="20.5703125" style="1" bestFit="1" customWidth="1"/>
    <col min="11019" max="11019" width="37.140625" style="1" customWidth="1"/>
    <col min="11020" max="11020" width="4.5703125" style="1" bestFit="1" customWidth="1"/>
    <col min="11021" max="11021" width="4.7109375" style="1" bestFit="1" customWidth="1"/>
    <col min="11022" max="11023" width="8.5703125" style="1" bestFit="1" customWidth="1"/>
    <col min="11024" max="11024" width="9.5703125" style="1" bestFit="1" customWidth="1"/>
    <col min="11025" max="11265" width="22.140625" style="1"/>
    <col min="11266" max="11266" width="7.140625" style="1" customWidth="1"/>
    <col min="11267" max="11267" width="11.7109375" style="1" bestFit="1" customWidth="1"/>
    <col min="11268" max="11268" width="20.85546875" style="1" bestFit="1" customWidth="1"/>
    <col min="11269" max="11269" width="19.85546875" style="1" bestFit="1" customWidth="1"/>
    <col min="11270" max="11270" width="15.85546875" style="1" customWidth="1"/>
    <col min="11271" max="11271" width="17.7109375" style="1" bestFit="1" customWidth="1"/>
    <col min="11272" max="11272" width="16.28515625" style="1" bestFit="1" customWidth="1"/>
    <col min="11273" max="11273" width="14.85546875" style="1" customWidth="1"/>
    <col min="11274" max="11274" width="20.5703125" style="1" bestFit="1" customWidth="1"/>
    <col min="11275" max="11275" width="37.140625" style="1" customWidth="1"/>
    <col min="11276" max="11276" width="4.5703125" style="1" bestFit="1" customWidth="1"/>
    <col min="11277" max="11277" width="4.7109375" style="1" bestFit="1" customWidth="1"/>
    <col min="11278" max="11279" width="8.5703125" style="1" bestFit="1" customWidth="1"/>
    <col min="11280" max="11280" width="9.5703125" style="1" bestFit="1" customWidth="1"/>
    <col min="11281" max="11521" width="22.140625" style="1"/>
    <col min="11522" max="11522" width="7.140625" style="1" customWidth="1"/>
    <col min="11523" max="11523" width="11.7109375" style="1" bestFit="1" customWidth="1"/>
    <col min="11524" max="11524" width="20.85546875" style="1" bestFit="1" customWidth="1"/>
    <col min="11525" max="11525" width="19.85546875" style="1" bestFit="1" customWidth="1"/>
    <col min="11526" max="11526" width="15.85546875" style="1" customWidth="1"/>
    <col min="11527" max="11527" width="17.7109375" style="1" bestFit="1" customWidth="1"/>
    <col min="11528" max="11528" width="16.28515625" style="1" bestFit="1" customWidth="1"/>
    <col min="11529" max="11529" width="14.85546875" style="1" customWidth="1"/>
    <col min="11530" max="11530" width="20.5703125" style="1" bestFit="1" customWidth="1"/>
    <col min="11531" max="11531" width="37.140625" style="1" customWidth="1"/>
    <col min="11532" max="11532" width="4.5703125" style="1" bestFit="1" customWidth="1"/>
    <col min="11533" max="11533" width="4.7109375" style="1" bestFit="1" customWidth="1"/>
    <col min="11534" max="11535" width="8.5703125" style="1" bestFit="1" customWidth="1"/>
    <col min="11536" max="11536" width="9.5703125" style="1" bestFit="1" customWidth="1"/>
    <col min="11537" max="11777" width="22.140625" style="1"/>
    <col min="11778" max="11778" width="7.140625" style="1" customWidth="1"/>
    <col min="11779" max="11779" width="11.7109375" style="1" bestFit="1" customWidth="1"/>
    <col min="11780" max="11780" width="20.85546875" style="1" bestFit="1" customWidth="1"/>
    <col min="11781" max="11781" width="19.85546875" style="1" bestFit="1" customWidth="1"/>
    <col min="11782" max="11782" width="15.85546875" style="1" customWidth="1"/>
    <col min="11783" max="11783" width="17.7109375" style="1" bestFit="1" customWidth="1"/>
    <col min="11784" max="11784" width="16.28515625" style="1" bestFit="1" customWidth="1"/>
    <col min="11785" max="11785" width="14.85546875" style="1" customWidth="1"/>
    <col min="11786" max="11786" width="20.5703125" style="1" bestFit="1" customWidth="1"/>
    <col min="11787" max="11787" width="37.140625" style="1" customWidth="1"/>
    <col min="11788" max="11788" width="4.5703125" style="1" bestFit="1" customWidth="1"/>
    <col min="11789" max="11789" width="4.7109375" style="1" bestFit="1" customWidth="1"/>
    <col min="11790" max="11791" width="8.5703125" style="1" bestFit="1" customWidth="1"/>
    <col min="11792" max="11792" width="9.5703125" style="1" bestFit="1" customWidth="1"/>
    <col min="11793" max="12033" width="22.140625" style="1"/>
    <col min="12034" max="12034" width="7.140625" style="1" customWidth="1"/>
    <col min="12035" max="12035" width="11.7109375" style="1" bestFit="1" customWidth="1"/>
    <col min="12036" max="12036" width="20.85546875" style="1" bestFit="1" customWidth="1"/>
    <col min="12037" max="12037" width="19.85546875" style="1" bestFit="1" customWidth="1"/>
    <col min="12038" max="12038" width="15.85546875" style="1" customWidth="1"/>
    <col min="12039" max="12039" width="17.7109375" style="1" bestFit="1" customWidth="1"/>
    <col min="12040" max="12040" width="16.28515625" style="1" bestFit="1" customWidth="1"/>
    <col min="12041" max="12041" width="14.85546875" style="1" customWidth="1"/>
    <col min="12042" max="12042" width="20.5703125" style="1" bestFit="1" customWidth="1"/>
    <col min="12043" max="12043" width="37.140625" style="1" customWidth="1"/>
    <col min="12044" max="12044" width="4.5703125" style="1" bestFit="1" customWidth="1"/>
    <col min="12045" max="12045" width="4.7109375" style="1" bestFit="1" customWidth="1"/>
    <col min="12046" max="12047" width="8.5703125" style="1" bestFit="1" customWidth="1"/>
    <col min="12048" max="12048" width="9.5703125" style="1" bestFit="1" customWidth="1"/>
    <col min="12049" max="12289" width="22.140625" style="1"/>
    <col min="12290" max="12290" width="7.140625" style="1" customWidth="1"/>
    <col min="12291" max="12291" width="11.7109375" style="1" bestFit="1" customWidth="1"/>
    <col min="12292" max="12292" width="20.85546875" style="1" bestFit="1" customWidth="1"/>
    <col min="12293" max="12293" width="19.85546875" style="1" bestFit="1" customWidth="1"/>
    <col min="12294" max="12294" width="15.85546875" style="1" customWidth="1"/>
    <col min="12295" max="12295" width="17.7109375" style="1" bestFit="1" customWidth="1"/>
    <col min="12296" max="12296" width="16.28515625" style="1" bestFit="1" customWidth="1"/>
    <col min="12297" max="12297" width="14.85546875" style="1" customWidth="1"/>
    <col min="12298" max="12298" width="20.5703125" style="1" bestFit="1" customWidth="1"/>
    <col min="12299" max="12299" width="37.140625" style="1" customWidth="1"/>
    <col min="12300" max="12300" width="4.5703125" style="1" bestFit="1" customWidth="1"/>
    <col min="12301" max="12301" width="4.7109375" style="1" bestFit="1" customWidth="1"/>
    <col min="12302" max="12303" width="8.5703125" style="1" bestFit="1" customWidth="1"/>
    <col min="12304" max="12304" width="9.5703125" style="1" bestFit="1" customWidth="1"/>
    <col min="12305" max="12545" width="22.140625" style="1"/>
    <col min="12546" max="12546" width="7.140625" style="1" customWidth="1"/>
    <col min="12547" max="12547" width="11.7109375" style="1" bestFit="1" customWidth="1"/>
    <col min="12548" max="12548" width="20.85546875" style="1" bestFit="1" customWidth="1"/>
    <col min="12549" max="12549" width="19.85546875" style="1" bestFit="1" customWidth="1"/>
    <col min="12550" max="12550" width="15.85546875" style="1" customWidth="1"/>
    <col min="12551" max="12551" width="17.7109375" style="1" bestFit="1" customWidth="1"/>
    <col min="12552" max="12552" width="16.28515625" style="1" bestFit="1" customWidth="1"/>
    <col min="12553" max="12553" width="14.85546875" style="1" customWidth="1"/>
    <col min="12554" max="12554" width="20.5703125" style="1" bestFit="1" customWidth="1"/>
    <col min="12555" max="12555" width="37.140625" style="1" customWidth="1"/>
    <col min="12556" max="12556" width="4.5703125" style="1" bestFit="1" customWidth="1"/>
    <col min="12557" max="12557" width="4.7109375" style="1" bestFit="1" customWidth="1"/>
    <col min="12558" max="12559" width="8.5703125" style="1" bestFit="1" customWidth="1"/>
    <col min="12560" max="12560" width="9.5703125" style="1" bestFit="1" customWidth="1"/>
    <col min="12561" max="12801" width="22.140625" style="1"/>
    <col min="12802" max="12802" width="7.140625" style="1" customWidth="1"/>
    <col min="12803" max="12803" width="11.7109375" style="1" bestFit="1" customWidth="1"/>
    <col min="12804" max="12804" width="20.85546875" style="1" bestFit="1" customWidth="1"/>
    <col min="12805" max="12805" width="19.85546875" style="1" bestFit="1" customWidth="1"/>
    <col min="12806" max="12806" width="15.85546875" style="1" customWidth="1"/>
    <col min="12807" max="12807" width="17.7109375" style="1" bestFit="1" customWidth="1"/>
    <col min="12808" max="12808" width="16.28515625" style="1" bestFit="1" customWidth="1"/>
    <col min="12809" max="12809" width="14.85546875" style="1" customWidth="1"/>
    <col min="12810" max="12810" width="20.5703125" style="1" bestFit="1" customWidth="1"/>
    <col min="12811" max="12811" width="37.140625" style="1" customWidth="1"/>
    <col min="12812" max="12812" width="4.5703125" style="1" bestFit="1" customWidth="1"/>
    <col min="12813" max="12813" width="4.7109375" style="1" bestFit="1" customWidth="1"/>
    <col min="12814" max="12815" width="8.5703125" style="1" bestFit="1" customWidth="1"/>
    <col min="12816" max="12816" width="9.5703125" style="1" bestFit="1" customWidth="1"/>
    <col min="12817" max="13057" width="22.140625" style="1"/>
    <col min="13058" max="13058" width="7.140625" style="1" customWidth="1"/>
    <col min="13059" max="13059" width="11.7109375" style="1" bestFit="1" customWidth="1"/>
    <col min="13060" max="13060" width="20.85546875" style="1" bestFit="1" customWidth="1"/>
    <col min="13061" max="13061" width="19.85546875" style="1" bestFit="1" customWidth="1"/>
    <col min="13062" max="13062" width="15.85546875" style="1" customWidth="1"/>
    <col min="13063" max="13063" width="17.7109375" style="1" bestFit="1" customWidth="1"/>
    <col min="13064" max="13064" width="16.28515625" style="1" bestFit="1" customWidth="1"/>
    <col min="13065" max="13065" width="14.85546875" style="1" customWidth="1"/>
    <col min="13066" max="13066" width="20.5703125" style="1" bestFit="1" customWidth="1"/>
    <col min="13067" max="13067" width="37.140625" style="1" customWidth="1"/>
    <col min="13068" max="13068" width="4.5703125" style="1" bestFit="1" customWidth="1"/>
    <col min="13069" max="13069" width="4.7109375" style="1" bestFit="1" customWidth="1"/>
    <col min="13070" max="13071" width="8.5703125" style="1" bestFit="1" customWidth="1"/>
    <col min="13072" max="13072" width="9.5703125" style="1" bestFit="1" customWidth="1"/>
    <col min="13073" max="13313" width="22.140625" style="1"/>
    <col min="13314" max="13314" width="7.140625" style="1" customWidth="1"/>
    <col min="13315" max="13315" width="11.7109375" style="1" bestFit="1" customWidth="1"/>
    <col min="13316" max="13316" width="20.85546875" style="1" bestFit="1" customWidth="1"/>
    <col min="13317" max="13317" width="19.85546875" style="1" bestFit="1" customWidth="1"/>
    <col min="13318" max="13318" width="15.85546875" style="1" customWidth="1"/>
    <col min="13319" max="13319" width="17.7109375" style="1" bestFit="1" customWidth="1"/>
    <col min="13320" max="13320" width="16.28515625" style="1" bestFit="1" customWidth="1"/>
    <col min="13321" max="13321" width="14.85546875" style="1" customWidth="1"/>
    <col min="13322" max="13322" width="20.5703125" style="1" bestFit="1" customWidth="1"/>
    <col min="13323" max="13323" width="37.140625" style="1" customWidth="1"/>
    <col min="13324" max="13324" width="4.5703125" style="1" bestFit="1" customWidth="1"/>
    <col min="13325" max="13325" width="4.7109375" style="1" bestFit="1" customWidth="1"/>
    <col min="13326" max="13327" width="8.5703125" style="1" bestFit="1" customWidth="1"/>
    <col min="13328" max="13328" width="9.5703125" style="1" bestFit="1" customWidth="1"/>
    <col min="13329" max="13569" width="22.140625" style="1"/>
    <col min="13570" max="13570" width="7.140625" style="1" customWidth="1"/>
    <col min="13571" max="13571" width="11.7109375" style="1" bestFit="1" customWidth="1"/>
    <col min="13572" max="13572" width="20.85546875" style="1" bestFit="1" customWidth="1"/>
    <col min="13573" max="13573" width="19.85546875" style="1" bestFit="1" customWidth="1"/>
    <col min="13574" max="13574" width="15.85546875" style="1" customWidth="1"/>
    <col min="13575" max="13575" width="17.7109375" style="1" bestFit="1" customWidth="1"/>
    <col min="13576" max="13576" width="16.28515625" style="1" bestFit="1" customWidth="1"/>
    <col min="13577" max="13577" width="14.85546875" style="1" customWidth="1"/>
    <col min="13578" max="13578" width="20.5703125" style="1" bestFit="1" customWidth="1"/>
    <col min="13579" max="13579" width="37.140625" style="1" customWidth="1"/>
    <col min="13580" max="13580" width="4.5703125" style="1" bestFit="1" customWidth="1"/>
    <col min="13581" max="13581" width="4.7109375" style="1" bestFit="1" customWidth="1"/>
    <col min="13582" max="13583" width="8.5703125" style="1" bestFit="1" customWidth="1"/>
    <col min="13584" max="13584" width="9.5703125" style="1" bestFit="1" customWidth="1"/>
    <col min="13585" max="13825" width="22.140625" style="1"/>
    <col min="13826" max="13826" width="7.140625" style="1" customWidth="1"/>
    <col min="13827" max="13827" width="11.7109375" style="1" bestFit="1" customWidth="1"/>
    <col min="13828" max="13828" width="20.85546875" style="1" bestFit="1" customWidth="1"/>
    <col min="13829" max="13829" width="19.85546875" style="1" bestFit="1" customWidth="1"/>
    <col min="13830" max="13830" width="15.85546875" style="1" customWidth="1"/>
    <col min="13831" max="13831" width="17.7109375" style="1" bestFit="1" customWidth="1"/>
    <col min="13832" max="13832" width="16.28515625" style="1" bestFit="1" customWidth="1"/>
    <col min="13833" max="13833" width="14.85546875" style="1" customWidth="1"/>
    <col min="13834" max="13834" width="20.5703125" style="1" bestFit="1" customWidth="1"/>
    <col min="13835" max="13835" width="37.140625" style="1" customWidth="1"/>
    <col min="13836" max="13836" width="4.5703125" style="1" bestFit="1" customWidth="1"/>
    <col min="13837" max="13837" width="4.7109375" style="1" bestFit="1" customWidth="1"/>
    <col min="13838" max="13839" width="8.5703125" style="1" bestFit="1" customWidth="1"/>
    <col min="13840" max="13840" width="9.5703125" style="1" bestFit="1" customWidth="1"/>
    <col min="13841" max="14081" width="22.140625" style="1"/>
    <col min="14082" max="14082" width="7.140625" style="1" customWidth="1"/>
    <col min="14083" max="14083" width="11.7109375" style="1" bestFit="1" customWidth="1"/>
    <col min="14084" max="14084" width="20.85546875" style="1" bestFit="1" customWidth="1"/>
    <col min="14085" max="14085" width="19.85546875" style="1" bestFit="1" customWidth="1"/>
    <col min="14086" max="14086" width="15.85546875" style="1" customWidth="1"/>
    <col min="14087" max="14087" width="17.7109375" style="1" bestFit="1" customWidth="1"/>
    <col min="14088" max="14088" width="16.28515625" style="1" bestFit="1" customWidth="1"/>
    <col min="14089" max="14089" width="14.85546875" style="1" customWidth="1"/>
    <col min="14090" max="14090" width="20.5703125" style="1" bestFit="1" customWidth="1"/>
    <col min="14091" max="14091" width="37.140625" style="1" customWidth="1"/>
    <col min="14092" max="14092" width="4.5703125" style="1" bestFit="1" customWidth="1"/>
    <col min="14093" max="14093" width="4.7109375" style="1" bestFit="1" customWidth="1"/>
    <col min="14094" max="14095" width="8.5703125" style="1" bestFit="1" customWidth="1"/>
    <col min="14096" max="14096" width="9.5703125" style="1" bestFit="1" customWidth="1"/>
    <col min="14097" max="14337" width="22.140625" style="1"/>
    <col min="14338" max="14338" width="7.140625" style="1" customWidth="1"/>
    <col min="14339" max="14339" width="11.7109375" style="1" bestFit="1" customWidth="1"/>
    <col min="14340" max="14340" width="20.85546875" style="1" bestFit="1" customWidth="1"/>
    <col min="14341" max="14341" width="19.85546875" style="1" bestFit="1" customWidth="1"/>
    <col min="14342" max="14342" width="15.85546875" style="1" customWidth="1"/>
    <col min="14343" max="14343" width="17.7109375" style="1" bestFit="1" customWidth="1"/>
    <col min="14344" max="14344" width="16.28515625" style="1" bestFit="1" customWidth="1"/>
    <col min="14345" max="14345" width="14.85546875" style="1" customWidth="1"/>
    <col min="14346" max="14346" width="20.5703125" style="1" bestFit="1" customWidth="1"/>
    <col min="14347" max="14347" width="37.140625" style="1" customWidth="1"/>
    <col min="14348" max="14348" width="4.5703125" style="1" bestFit="1" customWidth="1"/>
    <col min="14349" max="14349" width="4.7109375" style="1" bestFit="1" customWidth="1"/>
    <col min="14350" max="14351" width="8.5703125" style="1" bestFit="1" customWidth="1"/>
    <col min="14352" max="14352" width="9.5703125" style="1" bestFit="1" customWidth="1"/>
    <col min="14353" max="14593" width="22.140625" style="1"/>
    <col min="14594" max="14594" width="7.140625" style="1" customWidth="1"/>
    <col min="14595" max="14595" width="11.7109375" style="1" bestFit="1" customWidth="1"/>
    <col min="14596" max="14596" width="20.85546875" style="1" bestFit="1" customWidth="1"/>
    <col min="14597" max="14597" width="19.85546875" style="1" bestFit="1" customWidth="1"/>
    <col min="14598" max="14598" width="15.85546875" style="1" customWidth="1"/>
    <col min="14599" max="14599" width="17.7109375" style="1" bestFit="1" customWidth="1"/>
    <col min="14600" max="14600" width="16.28515625" style="1" bestFit="1" customWidth="1"/>
    <col min="14601" max="14601" width="14.85546875" style="1" customWidth="1"/>
    <col min="14602" max="14602" width="20.5703125" style="1" bestFit="1" customWidth="1"/>
    <col min="14603" max="14603" width="37.140625" style="1" customWidth="1"/>
    <col min="14604" max="14604" width="4.5703125" style="1" bestFit="1" customWidth="1"/>
    <col min="14605" max="14605" width="4.7109375" style="1" bestFit="1" customWidth="1"/>
    <col min="14606" max="14607" width="8.5703125" style="1" bestFit="1" customWidth="1"/>
    <col min="14608" max="14608" width="9.5703125" style="1" bestFit="1" customWidth="1"/>
    <col min="14609" max="14849" width="22.140625" style="1"/>
    <col min="14850" max="14850" width="7.140625" style="1" customWidth="1"/>
    <col min="14851" max="14851" width="11.7109375" style="1" bestFit="1" customWidth="1"/>
    <col min="14852" max="14852" width="20.85546875" style="1" bestFit="1" customWidth="1"/>
    <col min="14853" max="14853" width="19.85546875" style="1" bestFit="1" customWidth="1"/>
    <col min="14854" max="14854" width="15.85546875" style="1" customWidth="1"/>
    <col min="14855" max="14855" width="17.7109375" style="1" bestFit="1" customWidth="1"/>
    <col min="14856" max="14856" width="16.28515625" style="1" bestFit="1" customWidth="1"/>
    <col min="14857" max="14857" width="14.85546875" style="1" customWidth="1"/>
    <col min="14858" max="14858" width="20.5703125" style="1" bestFit="1" customWidth="1"/>
    <col min="14859" max="14859" width="37.140625" style="1" customWidth="1"/>
    <col min="14860" max="14860" width="4.5703125" style="1" bestFit="1" customWidth="1"/>
    <col min="14861" max="14861" width="4.7109375" style="1" bestFit="1" customWidth="1"/>
    <col min="14862" max="14863" width="8.5703125" style="1" bestFit="1" customWidth="1"/>
    <col min="14864" max="14864" width="9.5703125" style="1" bestFit="1" customWidth="1"/>
    <col min="14865" max="15105" width="22.140625" style="1"/>
    <col min="15106" max="15106" width="7.140625" style="1" customWidth="1"/>
    <col min="15107" max="15107" width="11.7109375" style="1" bestFit="1" customWidth="1"/>
    <col min="15108" max="15108" width="20.85546875" style="1" bestFit="1" customWidth="1"/>
    <col min="15109" max="15109" width="19.85546875" style="1" bestFit="1" customWidth="1"/>
    <col min="15110" max="15110" width="15.85546875" style="1" customWidth="1"/>
    <col min="15111" max="15111" width="17.7109375" style="1" bestFit="1" customWidth="1"/>
    <col min="15112" max="15112" width="16.28515625" style="1" bestFit="1" customWidth="1"/>
    <col min="15113" max="15113" width="14.85546875" style="1" customWidth="1"/>
    <col min="15114" max="15114" width="20.5703125" style="1" bestFit="1" customWidth="1"/>
    <col min="15115" max="15115" width="37.140625" style="1" customWidth="1"/>
    <col min="15116" max="15116" width="4.5703125" style="1" bestFit="1" customWidth="1"/>
    <col min="15117" max="15117" width="4.7109375" style="1" bestFit="1" customWidth="1"/>
    <col min="15118" max="15119" width="8.5703125" style="1" bestFit="1" customWidth="1"/>
    <col min="15120" max="15120" width="9.5703125" style="1" bestFit="1" customWidth="1"/>
    <col min="15121" max="15361" width="22.140625" style="1"/>
    <col min="15362" max="15362" width="7.140625" style="1" customWidth="1"/>
    <col min="15363" max="15363" width="11.7109375" style="1" bestFit="1" customWidth="1"/>
    <col min="15364" max="15364" width="20.85546875" style="1" bestFit="1" customWidth="1"/>
    <col min="15365" max="15365" width="19.85546875" style="1" bestFit="1" customWidth="1"/>
    <col min="15366" max="15366" width="15.85546875" style="1" customWidth="1"/>
    <col min="15367" max="15367" width="17.7109375" style="1" bestFit="1" customWidth="1"/>
    <col min="15368" max="15368" width="16.28515625" style="1" bestFit="1" customWidth="1"/>
    <col min="15369" max="15369" width="14.85546875" style="1" customWidth="1"/>
    <col min="15370" max="15370" width="20.5703125" style="1" bestFit="1" customWidth="1"/>
    <col min="15371" max="15371" width="37.140625" style="1" customWidth="1"/>
    <col min="15372" max="15372" width="4.5703125" style="1" bestFit="1" customWidth="1"/>
    <col min="15373" max="15373" width="4.7109375" style="1" bestFit="1" customWidth="1"/>
    <col min="15374" max="15375" width="8.5703125" style="1" bestFit="1" customWidth="1"/>
    <col min="15376" max="15376" width="9.5703125" style="1" bestFit="1" customWidth="1"/>
    <col min="15377" max="15617" width="22.140625" style="1"/>
    <col min="15618" max="15618" width="7.140625" style="1" customWidth="1"/>
    <col min="15619" max="15619" width="11.7109375" style="1" bestFit="1" customWidth="1"/>
    <col min="15620" max="15620" width="20.85546875" style="1" bestFit="1" customWidth="1"/>
    <col min="15621" max="15621" width="19.85546875" style="1" bestFit="1" customWidth="1"/>
    <col min="15622" max="15622" width="15.85546875" style="1" customWidth="1"/>
    <col min="15623" max="15623" width="17.7109375" style="1" bestFit="1" customWidth="1"/>
    <col min="15624" max="15624" width="16.28515625" style="1" bestFit="1" customWidth="1"/>
    <col min="15625" max="15625" width="14.85546875" style="1" customWidth="1"/>
    <col min="15626" max="15626" width="20.5703125" style="1" bestFit="1" customWidth="1"/>
    <col min="15627" max="15627" width="37.140625" style="1" customWidth="1"/>
    <col min="15628" max="15628" width="4.5703125" style="1" bestFit="1" customWidth="1"/>
    <col min="15629" max="15629" width="4.7109375" style="1" bestFit="1" customWidth="1"/>
    <col min="15630" max="15631" width="8.5703125" style="1" bestFit="1" customWidth="1"/>
    <col min="15632" max="15632" width="9.5703125" style="1" bestFit="1" customWidth="1"/>
    <col min="15633" max="15873" width="22.140625" style="1"/>
    <col min="15874" max="15874" width="7.140625" style="1" customWidth="1"/>
    <col min="15875" max="15875" width="11.7109375" style="1" bestFit="1" customWidth="1"/>
    <col min="15876" max="15876" width="20.85546875" style="1" bestFit="1" customWidth="1"/>
    <col min="15877" max="15877" width="19.85546875" style="1" bestFit="1" customWidth="1"/>
    <col min="15878" max="15878" width="15.85546875" style="1" customWidth="1"/>
    <col min="15879" max="15879" width="17.7109375" style="1" bestFit="1" customWidth="1"/>
    <col min="15880" max="15880" width="16.28515625" style="1" bestFit="1" customWidth="1"/>
    <col min="15881" max="15881" width="14.85546875" style="1" customWidth="1"/>
    <col min="15882" max="15882" width="20.5703125" style="1" bestFit="1" customWidth="1"/>
    <col min="15883" max="15883" width="37.140625" style="1" customWidth="1"/>
    <col min="15884" max="15884" width="4.5703125" style="1" bestFit="1" customWidth="1"/>
    <col min="15885" max="15885" width="4.7109375" style="1" bestFit="1" customWidth="1"/>
    <col min="15886" max="15887" width="8.5703125" style="1" bestFit="1" customWidth="1"/>
    <col min="15888" max="15888" width="9.5703125" style="1" bestFit="1" customWidth="1"/>
    <col min="15889" max="16129" width="22.140625" style="1"/>
    <col min="16130" max="16130" width="7.140625" style="1" customWidth="1"/>
    <col min="16131" max="16131" width="11.7109375" style="1" bestFit="1" customWidth="1"/>
    <col min="16132" max="16132" width="20.85546875" style="1" bestFit="1" customWidth="1"/>
    <col min="16133" max="16133" width="19.85546875" style="1" bestFit="1" customWidth="1"/>
    <col min="16134" max="16134" width="15.85546875" style="1" customWidth="1"/>
    <col min="16135" max="16135" width="17.7109375" style="1" bestFit="1" customWidth="1"/>
    <col min="16136" max="16136" width="16.28515625" style="1" bestFit="1" customWidth="1"/>
    <col min="16137" max="16137" width="14.85546875" style="1" customWidth="1"/>
    <col min="16138" max="16138" width="20.5703125" style="1" bestFit="1" customWidth="1"/>
    <col min="16139" max="16139" width="37.140625" style="1" customWidth="1"/>
    <col min="16140" max="16140" width="4.5703125" style="1" bestFit="1" customWidth="1"/>
    <col min="16141" max="16141" width="4.7109375" style="1" bestFit="1" customWidth="1"/>
    <col min="16142" max="16143" width="8.5703125" style="1" bestFit="1" customWidth="1"/>
    <col min="16144" max="16144" width="9.5703125" style="1" bestFit="1" customWidth="1"/>
    <col min="16145" max="16384" width="22.140625" style="1"/>
  </cols>
  <sheetData>
    <row r="1" spans="1:28" x14ac:dyDescent="0.2">
      <c r="C1" s="285" t="s">
        <v>162</v>
      </c>
      <c r="D1" s="286"/>
      <c r="E1" s="286"/>
      <c r="F1" s="286"/>
      <c r="G1" s="286"/>
      <c r="H1" s="286"/>
      <c r="I1" s="286"/>
      <c r="J1" s="38"/>
      <c r="K1" s="291" t="s">
        <v>188</v>
      </c>
      <c r="L1" s="292"/>
      <c r="M1" s="292"/>
      <c r="N1" s="292"/>
      <c r="O1" s="292"/>
      <c r="P1" s="38"/>
      <c r="Q1" s="287" t="s">
        <v>164</v>
      </c>
      <c r="R1" s="288"/>
      <c r="S1" s="288"/>
      <c r="T1" s="288"/>
      <c r="U1" s="288"/>
      <c r="V1" s="288"/>
      <c r="W1" s="38"/>
      <c r="X1" s="289" t="s">
        <v>185</v>
      </c>
      <c r="Y1" s="290"/>
      <c r="Z1" s="290"/>
      <c r="AA1" s="38"/>
      <c r="AB1" s="66"/>
    </row>
    <row r="2" spans="1:28" ht="89.25" x14ac:dyDescent="0.2">
      <c r="A2" s="17" t="s">
        <v>79</v>
      </c>
      <c r="B2" s="17" t="s">
        <v>176</v>
      </c>
      <c r="C2" s="17" t="s">
        <v>172</v>
      </c>
      <c r="D2" s="18" t="s">
        <v>173</v>
      </c>
      <c r="E2" s="19" t="s">
        <v>174</v>
      </c>
      <c r="F2" s="17" t="s">
        <v>175</v>
      </c>
      <c r="G2" s="17" t="s">
        <v>86</v>
      </c>
      <c r="H2" s="17" t="s">
        <v>84</v>
      </c>
      <c r="I2" s="21" t="s">
        <v>87</v>
      </c>
      <c r="J2" s="126"/>
      <c r="K2" s="209" t="s">
        <v>80</v>
      </c>
      <c r="L2" s="209" t="s">
        <v>183</v>
      </c>
      <c r="M2" s="209" t="s">
        <v>82</v>
      </c>
      <c r="N2" s="209" t="s">
        <v>81</v>
      </c>
      <c r="O2" s="209" t="s">
        <v>86</v>
      </c>
      <c r="P2" s="126"/>
      <c r="Q2" s="17" t="s">
        <v>152</v>
      </c>
      <c r="R2" s="18" t="s">
        <v>153</v>
      </c>
      <c r="S2" s="19" t="s">
        <v>154</v>
      </c>
      <c r="T2" s="17" t="s">
        <v>82</v>
      </c>
      <c r="U2" s="17" t="s">
        <v>65</v>
      </c>
      <c r="V2" s="127" t="s">
        <v>87</v>
      </c>
      <c r="W2" s="126"/>
      <c r="X2" s="209" t="s">
        <v>186</v>
      </c>
      <c r="Y2" s="223" t="s">
        <v>187</v>
      </c>
      <c r="Z2" s="223" t="s">
        <v>82</v>
      </c>
      <c r="AA2" s="126"/>
      <c r="AB2" s="127" t="s">
        <v>163</v>
      </c>
    </row>
    <row r="3" spans="1:28" hidden="1" outlineLevel="1" x14ac:dyDescent="0.2">
      <c r="A3" s="88">
        <v>1</v>
      </c>
      <c r="B3" s="32" t="s">
        <v>88</v>
      </c>
      <c r="C3" s="189">
        <v>60000</v>
      </c>
      <c r="D3" s="189">
        <v>0</v>
      </c>
      <c r="E3" s="189">
        <v>0</v>
      </c>
      <c r="F3" s="189">
        <v>0</v>
      </c>
      <c r="G3" s="189">
        <v>0</v>
      </c>
      <c r="H3" s="189">
        <f>SUM(C3:G3)</f>
        <v>60000</v>
      </c>
      <c r="I3" s="184"/>
      <c r="J3" s="125"/>
      <c r="K3" s="200"/>
      <c r="L3" s="200"/>
      <c r="M3" s="200"/>
      <c r="N3" s="200"/>
      <c r="O3" s="200"/>
      <c r="P3" s="125"/>
      <c r="Q3" s="152">
        <v>98683</v>
      </c>
      <c r="R3" s="152">
        <v>33838</v>
      </c>
      <c r="S3" s="152">
        <v>0</v>
      </c>
      <c r="T3" s="152">
        <v>0</v>
      </c>
      <c r="U3" s="152">
        <f>SUM(Q3:T3)</f>
        <v>132521</v>
      </c>
      <c r="V3" s="153"/>
      <c r="W3" s="125"/>
      <c r="X3" s="200"/>
      <c r="Y3" s="184"/>
      <c r="Z3" s="184"/>
      <c r="AA3" s="125"/>
      <c r="AB3" s="6">
        <f>H3-U3</f>
        <v>-72521</v>
      </c>
    </row>
    <row r="4" spans="1:28" hidden="1" outlineLevel="1" x14ac:dyDescent="0.2">
      <c r="A4" s="88">
        <v>1</v>
      </c>
      <c r="B4" s="32" t="s">
        <v>89</v>
      </c>
      <c r="C4" s="189">
        <v>768050</v>
      </c>
      <c r="D4" s="189">
        <v>0</v>
      </c>
      <c r="E4" s="189">
        <v>587924</v>
      </c>
      <c r="F4" s="189">
        <v>321490</v>
      </c>
      <c r="G4" s="189">
        <v>73210</v>
      </c>
      <c r="H4" s="189">
        <f>SUM(C4:G4)</f>
        <v>1750674</v>
      </c>
      <c r="I4" s="184"/>
      <c r="J4" s="125"/>
      <c r="K4" s="200"/>
      <c r="L4" s="200"/>
      <c r="M4" s="200"/>
      <c r="N4" s="200"/>
      <c r="O4" s="200"/>
      <c r="P4" s="125"/>
      <c r="Q4" s="152">
        <v>854347</v>
      </c>
      <c r="R4" s="152">
        <v>254389</v>
      </c>
      <c r="S4" s="152">
        <v>143030</v>
      </c>
      <c r="T4" s="152">
        <v>0</v>
      </c>
      <c r="U4" s="152">
        <f>SUM(Q4:T4)</f>
        <v>1251766</v>
      </c>
      <c r="V4" s="153"/>
      <c r="W4" s="125"/>
      <c r="X4" s="200"/>
      <c r="Y4" s="184"/>
      <c r="Z4" s="184"/>
      <c r="AA4" s="125"/>
      <c r="AB4" s="6">
        <f>H4-U4</f>
        <v>498908</v>
      </c>
    </row>
    <row r="5" spans="1:28" ht="13.5" hidden="1" outlineLevel="1" thickBot="1" x14ac:dyDescent="0.25">
      <c r="A5" s="88">
        <v>1</v>
      </c>
      <c r="B5" s="32" t="s">
        <v>90</v>
      </c>
      <c r="C5" s="190">
        <v>634288</v>
      </c>
      <c r="D5" s="190">
        <v>0</v>
      </c>
      <c r="E5" s="190">
        <v>0</v>
      </c>
      <c r="F5" s="190">
        <v>0</v>
      </c>
      <c r="G5" s="190">
        <v>0</v>
      </c>
      <c r="H5" s="190">
        <f>SUM(C5:G5)</f>
        <v>634288</v>
      </c>
      <c r="I5" s="184"/>
      <c r="J5" s="125"/>
      <c r="K5" s="201"/>
      <c r="L5" s="201"/>
      <c r="M5" s="201"/>
      <c r="N5" s="201"/>
      <c r="O5" s="201"/>
      <c r="P5" s="125"/>
      <c r="Q5" s="154">
        <v>889219</v>
      </c>
      <c r="R5" s="154">
        <v>264773</v>
      </c>
      <c r="S5" s="154">
        <v>148868</v>
      </c>
      <c r="T5" s="154">
        <v>0</v>
      </c>
      <c r="U5" s="154">
        <f>SUM(Q5:T5)</f>
        <v>1302860</v>
      </c>
      <c r="V5" s="153"/>
      <c r="W5" s="125"/>
      <c r="X5" s="201"/>
      <c r="Y5" s="184"/>
      <c r="Z5" s="184"/>
      <c r="AA5" s="125"/>
      <c r="AB5" s="62">
        <f>H5-U5</f>
        <v>-668572</v>
      </c>
    </row>
    <row r="6" spans="1:28" collapsed="1" x14ac:dyDescent="0.2">
      <c r="A6" s="40">
        <v>1</v>
      </c>
      <c r="B6" s="45" t="s">
        <v>4</v>
      </c>
      <c r="C6" s="191">
        <f t="shared" ref="C6:G6" si="0">SUM(C3:C5)</f>
        <v>1462338</v>
      </c>
      <c r="D6" s="191">
        <f t="shared" si="0"/>
        <v>0</v>
      </c>
      <c r="E6" s="191">
        <f t="shared" si="0"/>
        <v>587924</v>
      </c>
      <c r="F6" s="191">
        <f t="shared" si="0"/>
        <v>321490</v>
      </c>
      <c r="G6" s="191">
        <f t="shared" si="0"/>
        <v>73210</v>
      </c>
      <c r="H6" s="191">
        <f>SUM(C6,D6,E6,F6,G6)</f>
        <v>2444962</v>
      </c>
      <c r="I6" s="184"/>
      <c r="J6" s="125"/>
      <c r="K6" s="200">
        <f>C6/$H$6</f>
        <v>0.59810254719705258</v>
      </c>
      <c r="L6" s="200">
        <f>D6/$H$6</f>
        <v>0</v>
      </c>
      <c r="M6" s="200">
        <f>E6/$H$6</f>
        <v>0.24046345096570007</v>
      </c>
      <c r="N6" s="200">
        <f>F6/$H$6</f>
        <v>0.13149079617597328</v>
      </c>
      <c r="O6" s="200">
        <f>G6/$H$6</f>
        <v>2.9943205661274081E-2</v>
      </c>
      <c r="P6" s="125"/>
      <c r="Q6" s="155">
        <f t="shared" ref="Q6:T6" si="1">SUM(Q3:Q5)</f>
        <v>1842249</v>
      </c>
      <c r="R6" s="155">
        <f t="shared" si="1"/>
        <v>553000</v>
      </c>
      <c r="S6" s="155">
        <f t="shared" si="1"/>
        <v>291898</v>
      </c>
      <c r="T6" s="155">
        <f t="shared" si="1"/>
        <v>0</v>
      </c>
      <c r="U6" s="155">
        <f>SUM(Q6,R6,S6,T6)</f>
        <v>2687147</v>
      </c>
      <c r="V6" s="188"/>
      <c r="W6" s="125"/>
      <c r="X6" s="200">
        <f>(Q6+R6)/U6</f>
        <v>0.89137252260482958</v>
      </c>
      <c r="Y6" s="200">
        <f>S6/U6</f>
        <v>0.10862747739517041</v>
      </c>
      <c r="Z6" s="200">
        <f>T6/U6</f>
        <v>0</v>
      </c>
      <c r="AA6" s="125"/>
      <c r="AB6" s="6">
        <f>H6-U6</f>
        <v>-242185</v>
      </c>
    </row>
    <row r="7" spans="1:28" x14ac:dyDescent="0.2">
      <c r="A7" s="90"/>
      <c r="B7" s="72"/>
      <c r="C7" s="26"/>
      <c r="D7" s="26"/>
      <c r="E7" s="26"/>
      <c r="F7" s="26"/>
      <c r="G7" s="26"/>
      <c r="H7" s="27"/>
      <c r="I7" s="28"/>
      <c r="J7" s="125"/>
      <c r="K7" s="199"/>
      <c r="L7" s="199"/>
      <c r="M7" s="199"/>
      <c r="N7" s="199"/>
      <c r="O7" s="199"/>
      <c r="P7" s="125"/>
      <c r="Q7" s="26"/>
      <c r="R7" s="10"/>
      <c r="S7" s="10"/>
      <c r="T7" s="10"/>
      <c r="U7" s="31"/>
      <c r="V7" s="31"/>
      <c r="W7" s="125"/>
      <c r="X7" s="10"/>
      <c r="Y7" s="10"/>
      <c r="Z7" s="10"/>
      <c r="AA7" s="125"/>
      <c r="AB7" s="10"/>
    </row>
    <row r="8" spans="1:28" hidden="1" outlineLevel="1" x14ac:dyDescent="0.2">
      <c r="A8" s="88">
        <v>2</v>
      </c>
      <c r="B8" s="32" t="s">
        <v>91</v>
      </c>
      <c r="C8" s="189">
        <v>1436638</v>
      </c>
      <c r="D8" s="189">
        <v>0</v>
      </c>
      <c r="E8" s="189">
        <v>292500</v>
      </c>
      <c r="F8" s="189">
        <v>912859</v>
      </c>
      <c r="G8" s="189">
        <v>49500</v>
      </c>
      <c r="H8" s="189">
        <f>SUM(C8:G8)</f>
        <v>2691497</v>
      </c>
      <c r="I8" s="184"/>
      <c r="J8" s="125"/>
      <c r="K8" s="200"/>
      <c r="L8" s="200"/>
      <c r="M8" s="200"/>
      <c r="N8" s="200"/>
      <c r="O8" s="200"/>
      <c r="P8" s="125"/>
      <c r="Q8" s="152">
        <v>1825638</v>
      </c>
      <c r="R8" s="152">
        <v>580895</v>
      </c>
      <c r="S8" s="152">
        <v>607352</v>
      </c>
      <c r="T8" s="152">
        <v>0</v>
      </c>
      <c r="U8" s="152">
        <f>SUM(Q8:T8)</f>
        <v>3013885</v>
      </c>
      <c r="V8" s="188"/>
      <c r="W8" s="125"/>
      <c r="X8" s="200"/>
      <c r="Y8" s="200"/>
      <c r="Z8" s="200"/>
      <c r="AA8" s="125"/>
      <c r="AB8" s="6">
        <f>H8-U8</f>
        <v>-322388</v>
      </c>
    </row>
    <row r="9" spans="1:28" hidden="1" outlineLevel="1" x14ac:dyDescent="0.2">
      <c r="A9" s="88">
        <v>2</v>
      </c>
      <c r="B9" s="32" t="s">
        <v>92</v>
      </c>
      <c r="C9" s="189">
        <v>81726</v>
      </c>
      <c r="D9" s="189">
        <v>0</v>
      </c>
      <c r="E9" s="189">
        <v>0</v>
      </c>
      <c r="F9" s="189">
        <v>0</v>
      </c>
      <c r="G9" s="189">
        <v>0</v>
      </c>
      <c r="H9" s="189">
        <f>SUM(C9:G9)</f>
        <v>81726</v>
      </c>
      <c r="I9" s="184"/>
      <c r="J9" s="125"/>
      <c r="K9" s="200"/>
      <c r="L9" s="200"/>
      <c r="M9" s="200"/>
      <c r="N9" s="200"/>
      <c r="O9" s="200"/>
      <c r="P9" s="125"/>
      <c r="Q9" s="152">
        <v>82786</v>
      </c>
      <c r="R9" s="152">
        <v>26936</v>
      </c>
      <c r="S9" s="152">
        <v>5600</v>
      </c>
      <c r="T9" s="152">
        <v>0</v>
      </c>
      <c r="U9" s="152">
        <f>SUM(Q9:T9)</f>
        <v>115322</v>
      </c>
      <c r="V9" s="188"/>
      <c r="W9" s="125"/>
      <c r="X9" s="200"/>
      <c r="Y9" s="200"/>
      <c r="Z9" s="200"/>
      <c r="AA9" s="125"/>
      <c r="AB9" s="6">
        <f>H9-U9</f>
        <v>-33596</v>
      </c>
    </row>
    <row r="10" spans="1:28" ht="13.5" hidden="1" outlineLevel="1" thickBot="1" x14ac:dyDescent="0.25">
      <c r="A10" s="88">
        <v>2</v>
      </c>
      <c r="B10" s="32" t="s">
        <v>93</v>
      </c>
      <c r="C10" s="190">
        <v>130000</v>
      </c>
      <c r="D10" s="190">
        <v>0</v>
      </c>
      <c r="E10" s="190">
        <v>0</v>
      </c>
      <c r="F10" s="190">
        <v>0</v>
      </c>
      <c r="G10" s="190">
        <v>0</v>
      </c>
      <c r="H10" s="190">
        <f>SUM(C10:G10)</f>
        <v>130000</v>
      </c>
      <c r="I10" s="184"/>
      <c r="J10" s="125"/>
      <c r="K10" s="201"/>
      <c r="L10" s="201"/>
      <c r="M10" s="201"/>
      <c r="N10" s="201"/>
      <c r="O10" s="201"/>
      <c r="P10" s="125"/>
      <c r="Q10" s="154">
        <v>226365</v>
      </c>
      <c r="R10" s="154">
        <v>63676</v>
      </c>
      <c r="S10" s="154">
        <v>16526</v>
      </c>
      <c r="T10" s="154">
        <v>0</v>
      </c>
      <c r="U10" s="154">
        <f>SUM(Q10:T10)</f>
        <v>306567</v>
      </c>
      <c r="V10" s="188"/>
      <c r="W10" s="125"/>
      <c r="X10" s="201"/>
      <c r="Y10" s="201"/>
      <c r="Z10" s="201"/>
      <c r="AA10" s="125"/>
      <c r="AB10" s="62">
        <f>H10-U10</f>
        <v>-176567</v>
      </c>
    </row>
    <row r="11" spans="1:28" collapsed="1" x14ac:dyDescent="0.2">
      <c r="A11" s="40">
        <v>2</v>
      </c>
      <c r="B11" s="45" t="s">
        <v>4</v>
      </c>
      <c r="C11" s="191">
        <f t="shared" ref="C11:G11" si="2">SUM(C8:C10)</f>
        <v>1648364</v>
      </c>
      <c r="D11" s="191">
        <f t="shared" si="2"/>
        <v>0</v>
      </c>
      <c r="E11" s="191">
        <f t="shared" si="2"/>
        <v>292500</v>
      </c>
      <c r="F11" s="191">
        <f t="shared" si="2"/>
        <v>912859</v>
      </c>
      <c r="G11" s="191">
        <f t="shared" si="2"/>
        <v>49500</v>
      </c>
      <c r="H11" s="191">
        <f>SUM(C11,D11,E11,F11,G11)</f>
        <v>2903223</v>
      </c>
      <c r="I11" s="184"/>
      <c r="J11" s="125"/>
      <c r="K11" s="200">
        <f>C11/$H$11</f>
        <v>0.5677703710669143</v>
      </c>
      <c r="L11" s="200">
        <f>D11/$H$11</f>
        <v>0</v>
      </c>
      <c r="M11" s="200">
        <f>E11/$H$11</f>
        <v>0.10075009739176082</v>
      </c>
      <c r="N11" s="200">
        <f>F11/$H$11</f>
        <v>0.31442951505964234</v>
      </c>
      <c r="O11" s="200">
        <f>G11/$H$11</f>
        <v>1.7050016481682598E-2</v>
      </c>
      <c r="P11" s="125"/>
      <c r="Q11" s="155">
        <f t="shared" ref="Q11:T11" si="3">SUM(Q8:Q10)</f>
        <v>2134789</v>
      </c>
      <c r="R11" s="155">
        <f t="shared" si="3"/>
        <v>671507</v>
      </c>
      <c r="S11" s="155">
        <f t="shared" si="3"/>
        <v>629478</v>
      </c>
      <c r="T11" s="155">
        <f t="shared" si="3"/>
        <v>0</v>
      </c>
      <c r="U11" s="155">
        <f>SUM(Q11,R11,S11,T11)</f>
        <v>3435774</v>
      </c>
      <c r="V11" s="188"/>
      <c r="W11" s="125"/>
      <c r="X11" s="200">
        <f>(Q11+R11)/U11</f>
        <v>0.81678713442735174</v>
      </c>
      <c r="Y11" s="200">
        <f>S11/U11</f>
        <v>0.18321286557264826</v>
      </c>
      <c r="Z11" s="200">
        <f>T11/U11</f>
        <v>0</v>
      </c>
      <c r="AA11" s="125"/>
      <c r="AB11" s="6">
        <f>H11-U11</f>
        <v>-532551</v>
      </c>
    </row>
    <row r="12" spans="1:28" s="5" customFormat="1" x14ac:dyDescent="0.2">
      <c r="A12" s="91"/>
      <c r="B12" s="26"/>
      <c r="C12" s="26"/>
      <c r="D12" s="26"/>
      <c r="E12" s="26"/>
      <c r="F12" s="26"/>
      <c r="G12" s="26"/>
      <c r="H12" s="26"/>
      <c r="I12" s="10"/>
      <c r="J12" s="11"/>
      <c r="K12" s="199"/>
      <c r="L12" s="199"/>
      <c r="M12" s="199"/>
      <c r="N12" s="199"/>
      <c r="O12" s="199"/>
      <c r="P12" s="11"/>
      <c r="Q12" s="10"/>
      <c r="R12" s="10"/>
      <c r="S12" s="10"/>
      <c r="T12" s="10"/>
      <c r="U12" s="31"/>
      <c r="V12" s="31"/>
      <c r="W12" s="11"/>
      <c r="X12" s="10"/>
      <c r="Y12" s="10"/>
      <c r="Z12" s="10"/>
      <c r="AA12" s="11"/>
      <c r="AB12" s="10"/>
    </row>
    <row r="13" spans="1:28" hidden="1" outlineLevel="1" x14ac:dyDescent="0.2">
      <c r="A13" s="88">
        <v>3</v>
      </c>
      <c r="B13" s="32" t="s">
        <v>94</v>
      </c>
      <c r="C13" s="189">
        <v>0</v>
      </c>
      <c r="D13" s="189">
        <v>0</v>
      </c>
      <c r="E13" s="189">
        <v>0</v>
      </c>
      <c r="F13" s="189">
        <v>0</v>
      </c>
      <c r="G13" s="189">
        <v>0</v>
      </c>
      <c r="H13" s="189">
        <f>SUM(C13:G13)</f>
        <v>0</v>
      </c>
      <c r="I13" s="184"/>
      <c r="J13" s="125"/>
      <c r="K13" s="200"/>
      <c r="L13" s="200"/>
      <c r="M13" s="200"/>
      <c r="N13" s="200"/>
      <c r="O13" s="200"/>
      <c r="P13" s="125"/>
      <c r="Q13" s="152">
        <v>0</v>
      </c>
      <c r="R13" s="152">
        <v>0</v>
      </c>
      <c r="S13" s="152">
        <v>0</v>
      </c>
      <c r="T13" s="152">
        <v>0</v>
      </c>
      <c r="U13" s="152">
        <f>SUM(Q13:T13)</f>
        <v>0</v>
      </c>
      <c r="V13" s="188"/>
      <c r="W13" s="125"/>
      <c r="X13" s="200"/>
      <c r="Y13" s="200"/>
      <c r="Z13" s="200"/>
      <c r="AA13" s="125"/>
      <c r="AB13" s="6">
        <f>H13-U13</f>
        <v>0</v>
      </c>
    </row>
    <row r="14" spans="1:28" hidden="1" outlineLevel="1" x14ac:dyDescent="0.2">
      <c r="A14" s="88">
        <v>3</v>
      </c>
      <c r="B14" s="32" t="s">
        <v>95</v>
      </c>
      <c r="C14" s="189">
        <v>0</v>
      </c>
      <c r="D14" s="189">
        <v>0</v>
      </c>
      <c r="E14" s="189">
        <v>0</v>
      </c>
      <c r="F14" s="189">
        <v>0</v>
      </c>
      <c r="G14" s="189">
        <v>0</v>
      </c>
      <c r="H14" s="189">
        <f>SUM(C14:G14)</f>
        <v>0</v>
      </c>
      <c r="I14" s="184"/>
      <c r="J14" s="125"/>
      <c r="K14" s="200"/>
      <c r="L14" s="200"/>
      <c r="M14" s="200"/>
      <c r="N14" s="200"/>
      <c r="O14" s="200"/>
      <c r="P14" s="125"/>
      <c r="Q14" s="152">
        <v>0</v>
      </c>
      <c r="R14" s="152">
        <v>0</v>
      </c>
      <c r="S14" s="152">
        <v>0</v>
      </c>
      <c r="T14" s="152">
        <v>0</v>
      </c>
      <c r="U14" s="152">
        <f>SUM(Q14:T14)</f>
        <v>0</v>
      </c>
      <c r="V14" s="188"/>
      <c r="W14" s="125"/>
      <c r="X14" s="200"/>
      <c r="Y14" s="200"/>
      <c r="Z14" s="200"/>
      <c r="AA14" s="125"/>
      <c r="AB14" s="6">
        <f>H14-U14</f>
        <v>0</v>
      </c>
    </row>
    <row r="15" spans="1:28" ht="38.25" hidden="1" outlineLevel="1" x14ac:dyDescent="0.2">
      <c r="A15" s="88">
        <v>3</v>
      </c>
      <c r="B15" s="32" t="s">
        <v>96</v>
      </c>
      <c r="C15" s="189">
        <v>483479</v>
      </c>
      <c r="D15" s="189">
        <v>0</v>
      </c>
      <c r="E15" s="189">
        <v>115247</v>
      </c>
      <c r="F15" s="189">
        <v>1220070.81</v>
      </c>
      <c r="G15" s="189">
        <v>0</v>
      </c>
      <c r="H15" s="189">
        <f>SUM(C15:G15)</f>
        <v>1818796.81</v>
      </c>
      <c r="I15" s="184" t="s">
        <v>97</v>
      </c>
      <c r="J15" s="125"/>
      <c r="K15" s="200"/>
      <c r="L15" s="200"/>
      <c r="M15" s="200"/>
      <c r="N15" s="200"/>
      <c r="O15" s="200"/>
      <c r="P15" s="125"/>
      <c r="Q15" s="152">
        <v>1164890</v>
      </c>
      <c r="R15" s="152">
        <v>391633</v>
      </c>
      <c r="S15" s="152">
        <v>141700</v>
      </c>
      <c r="T15" s="152">
        <v>0</v>
      </c>
      <c r="U15" s="152">
        <f>SUM(Q15:T15)</f>
        <v>1698223</v>
      </c>
      <c r="V15" s="188"/>
      <c r="W15" s="125"/>
      <c r="X15" s="200"/>
      <c r="Y15" s="200"/>
      <c r="Z15" s="200"/>
      <c r="AA15" s="125"/>
      <c r="AB15" s="6">
        <f>H15-U15</f>
        <v>120573.81000000006</v>
      </c>
    </row>
    <row r="16" spans="1:28" ht="13.5" hidden="1" outlineLevel="1" thickBot="1" x14ac:dyDescent="0.25">
      <c r="A16" s="88">
        <v>3</v>
      </c>
      <c r="B16" s="32" t="s">
        <v>98</v>
      </c>
      <c r="C16" s="190">
        <v>0</v>
      </c>
      <c r="D16" s="190">
        <v>0</v>
      </c>
      <c r="E16" s="190">
        <v>0</v>
      </c>
      <c r="F16" s="190">
        <v>0</v>
      </c>
      <c r="G16" s="190">
        <v>0</v>
      </c>
      <c r="H16" s="190">
        <f>SUM(C16:G16)</f>
        <v>0</v>
      </c>
      <c r="I16" s="184"/>
      <c r="J16" s="125"/>
      <c r="K16" s="201"/>
      <c r="L16" s="201"/>
      <c r="M16" s="201"/>
      <c r="N16" s="201"/>
      <c r="O16" s="201"/>
      <c r="P16" s="125"/>
      <c r="Q16" s="154">
        <v>0</v>
      </c>
      <c r="R16" s="154">
        <v>0</v>
      </c>
      <c r="S16" s="154">
        <v>0</v>
      </c>
      <c r="T16" s="154">
        <v>0</v>
      </c>
      <c r="U16" s="154">
        <f>SUM(Q16:T16)</f>
        <v>0</v>
      </c>
      <c r="V16" s="188"/>
      <c r="W16" s="125"/>
      <c r="X16" s="201"/>
      <c r="Y16" s="201"/>
      <c r="Z16" s="201"/>
      <c r="AA16" s="125"/>
      <c r="AB16" s="62">
        <f>H16-U16</f>
        <v>0</v>
      </c>
    </row>
    <row r="17" spans="1:28" collapsed="1" x14ac:dyDescent="0.2">
      <c r="A17" s="40">
        <v>3</v>
      </c>
      <c r="B17" s="45" t="s">
        <v>4</v>
      </c>
      <c r="C17" s="191">
        <f t="shared" ref="C17:G17" si="4">SUM(C13:C16)</f>
        <v>483479</v>
      </c>
      <c r="D17" s="191">
        <f t="shared" si="4"/>
        <v>0</v>
      </c>
      <c r="E17" s="191">
        <f t="shared" si="4"/>
        <v>115247</v>
      </c>
      <c r="F17" s="191">
        <f t="shared" si="4"/>
        <v>1220070.81</v>
      </c>
      <c r="G17" s="191">
        <f t="shared" si="4"/>
        <v>0</v>
      </c>
      <c r="H17" s="191">
        <f>SUM(C17,D17,E17,F17,G17)</f>
        <v>1818796.81</v>
      </c>
      <c r="I17" s="184"/>
      <c r="J17" s="125"/>
      <c r="K17" s="200">
        <f>C17/$H$17</f>
        <v>0.26582353638502365</v>
      </c>
      <c r="L17" s="200">
        <f>D17/$H$17</f>
        <v>0</v>
      </c>
      <c r="M17" s="200">
        <f>E17/$H$17</f>
        <v>6.3364417270997966E-2</v>
      </c>
      <c r="N17" s="200">
        <f>F17/$H$17</f>
        <v>0.6708120463439784</v>
      </c>
      <c r="O17" s="200">
        <f>G17/$H$17</f>
        <v>0</v>
      </c>
      <c r="P17" s="125"/>
      <c r="Q17" s="155">
        <f t="shared" ref="Q17:T17" si="5">SUM(Q13:Q16)</f>
        <v>1164890</v>
      </c>
      <c r="R17" s="155">
        <f t="shared" si="5"/>
        <v>391633</v>
      </c>
      <c r="S17" s="155">
        <f t="shared" si="5"/>
        <v>141700</v>
      </c>
      <c r="T17" s="155">
        <f t="shared" si="5"/>
        <v>0</v>
      </c>
      <c r="U17" s="155">
        <f>SUM(Q17,R17,S17,T17)</f>
        <v>1698223</v>
      </c>
      <c r="V17" s="188"/>
      <c r="W17" s="125"/>
      <c r="X17" s="200">
        <f>(Q17+R17)/U17</f>
        <v>0.91655983931438922</v>
      </c>
      <c r="Y17" s="200">
        <f>S17/U17</f>
        <v>8.3440160685610776E-2</v>
      </c>
      <c r="Z17" s="200">
        <f>T17/U17</f>
        <v>0</v>
      </c>
      <c r="AA17" s="125"/>
      <c r="AB17" s="6">
        <f>H17-U17</f>
        <v>120573.81000000006</v>
      </c>
    </row>
    <row r="18" spans="1:28" s="5" customFormat="1" x14ac:dyDescent="0.2">
      <c r="A18" s="91"/>
      <c r="B18" s="26"/>
      <c r="C18" s="26"/>
      <c r="D18" s="26"/>
      <c r="E18" s="26"/>
      <c r="F18" s="26"/>
      <c r="G18" s="26"/>
      <c r="H18" s="26"/>
      <c r="I18" s="10"/>
      <c r="J18" s="11"/>
      <c r="K18" s="199"/>
      <c r="L18" s="199"/>
      <c r="M18" s="199"/>
      <c r="N18" s="199"/>
      <c r="O18" s="199"/>
      <c r="P18" s="11"/>
      <c r="Q18" s="26"/>
      <c r="R18" s="10"/>
      <c r="S18" s="10"/>
      <c r="T18" s="10"/>
      <c r="U18" s="31"/>
      <c r="V18" s="31"/>
      <c r="W18" s="11"/>
      <c r="X18" s="10"/>
      <c r="Y18" s="10"/>
      <c r="Z18" s="10"/>
      <c r="AA18" s="11"/>
      <c r="AB18" s="10"/>
    </row>
    <row r="19" spans="1:28" hidden="1" outlineLevel="1" x14ac:dyDescent="0.2">
      <c r="A19" s="88">
        <v>4</v>
      </c>
      <c r="B19" s="32" t="s">
        <v>99</v>
      </c>
      <c r="C19" s="189">
        <v>147178</v>
      </c>
      <c r="D19" s="189">
        <v>0</v>
      </c>
      <c r="E19" s="189">
        <v>0</v>
      </c>
      <c r="F19" s="189">
        <v>0</v>
      </c>
      <c r="G19" s="189">
        <v>0</v>
      </c>
      <c r="H19" s="189">
        <f>SUM(C19:G19)</f>
        <v>147178</v>
      </c>
      <c r="I19" s="184"/>
      <c r="J19" s="125"/>
      <c r="K19" s="200"/>
      <c r="L19" s="200"/>
      <c r="M19" s="200"/>
      <c r="N19" s="200"/>
      <c r="O19" s="200"/>
      <c r="P19" s="125"/>
      <c r="Q19" s="152">
        <v>0</v>
      </c>
      <c r="R19" s="152">
        <v>0</v>
      </c>
      <c r="S19" s="152">
        <v>0</v>
      </c>
      <c r="T19" s="152">
        <v>0</v>
      </c>
      <c r="U19" s="152">
        <f>SUM(Q19:T19)</f>
        <v>0</v>
      </c>
      <c r="V19" s="188"/>
      <c r="W19" s="125"/>
      <c r="X19" s="200"/>
      <c r="Y19" s="200"/>
      <c r="Z19" s="200"/>
      <c r="AA19" s="125"/>
      <c r="AB19" s="6"/>
    </row>
    <row r="20" spans="1:28" hidden="1" outlineLevel="1" x14ac:dyDescent="0.2">
      <c r="A20" s="88">
        <v>4</v>
      </c>
      <c r="B20" s="32" t="s">
        <v>100</v>
      </c>
      <c r="C20" s="189">
        <v>137200</v>
      </c>
      <c r="D20" s="189">
        <v>0</v>
      </c>
      <c r="E20" s="189">
        <v>0</v>
      </c>
      <c r="F20" s="189">
        <v>0</v>
      </c>
      <c r="G20" s="189">
        <v>0</v>
      </c>
      <c r="H20" s="189">
        <f>SUM(C20:G20)</f>
        <v>137200</v>
      </c>
      <c r="I20" s="184"/>
      <c r="J20" s="125"/>
      <c r="K20" s="200"/>
      <c r="L20" s="200"/>
      <c r="M20" s="200"/>
      <c r="N20" s="200"/>
      <c r="O20" s="200"/>
      <c r="P20" s="125"/>
      <c r="Q20" s="152">
        <v>0</v>
      </c>
      <c r="R20" s="152">
        <v>0</v>
      </c>
      <c r="S20" s="152">
        <v>0</v>
      </c>
      <c r="T20" s="152">
        <v>0</v>
      </c>
      <c r="U20" s="152">
        <f>SUM(Q20:T20)</f>
        <v>0</v>
      </c>
      <c r="V20" s="188"/>
      <c r="W20" s="125"/>
      <c r="X20" s="200"/>
      <c r="Y20" s="200"/>
      <c r="Z20" s="200"/>
      <c r="AA20" s="125"/>
      <c r="AB20" s="6"/>
    </row>
    <row r="21" spans="1:28" hidden="1" outlineLevel="1" x14ac:dyDescent="0.2">
      <c r="A21" s="88">
        <v>4</v>
      </c>
      <c r="B21" s="32" t="s">
        <v>101</v>
      </c>
      <c r="C21" s="189">
        <v>90000</v>
      </c>
      <c r="D21" s="189">
        <v>0</v>
      </c>
      <c r="E21" s="189">
        <v>0</v>
      </c>
      <c r="F21" s="189">
        <v>0</v>
      </c>
      <c r="G21" s="189">
        <v>0</v>
      </c>
      <c r="H21" s="189">
        <f>SUM(C21:G21)</f>
        <v>90000</v>
      </c>
      <c r="I21" s="184"/>
      <c r="J21" s="125"/>
      <c r="K21" s="200"/>
      <c r="L21" s="200"/>
      <c r="M21" s="200"/>
      <c r="N21" s="200"/>
      <c r="O21" s="200"/>
      <c r="P21" s="125"/>
      <c r="Q21" s="152">
        <v>0</v>
      </c>
      <c r="R21" s="152">
        <v>0</v>
      </c>
      <c r="S21" s="152">
        <v>0</v>
      </c>
      <c r="T21" s="152">
        <v>0</v>
      </c>
      <c r="U21" s="152">
        <f>SUM(Q21:T21)</f>
        <v>0</v>
      </c>
      <c r="V21" s="188"/>
      <c r="W21" s="125"/>
      <c r="X21" s="200"/>
      <c r="Y21" s="200"/>
      <c r="Z21" s="200"/>
      <c r="AA21" s="125"/>
      <c r="AB21" s="6"/>
    </row>
    <row r="22" spans="1:28" ht="13.5" hidden="1" outlineLevel="1" thickBot="1" x14ac:dyDescent="0.25">
      <c r="A22" s="88">
        <v>4</v>
      </c>
      <c r="B22" s="32" t="s">
        <v>102</v>
      </c>
      <c r="C22" s="190">
        <v>89000</v>
      </c>
      <c r="D22" s="190">
        <v>0</v>
      </c>
      <c r="E22" s="190">
        <v>0</v>
      </c>
      <c r="F22" s="190">
        <v>0</v>
      </c>
      <c r="G22" s="190">
        <v>0</v>
      </c>
      <c r="H22" s="190">
        <f>SUM(C22:G22)</f>
        <v>89000</v>
      </c>
      <c r="I22" s="184"/>
      <c r="J22" s="125"/>
      <c r="K22" s="201"/>
      <c r="L22" s="201"/>
      <c r="M22" s="201"/>
      <c r="N22" s="201"/>
      <c r="O22" s="201"/>
      <c r="P22" s="125"/>
      <c r="Q22" s="154">
        <v>0</v>
      </c>
      <c r="R22" s="154">
        <v>0</v>
      </c>
      <c r="S22" s="154">
        <v>0</v>
      </c>
      <c r="T22" s="154">
        <v>0</v>
      </c>
      <c r="U22" s="154">
        <f>SUM(Q22:T22)</f>
        <v>0</v>
      </c>
      <c r="V22" s="188"/>
      <c r="W22" s="125"/>
      <c r="X22" s="201"/>
      <c r="Y22" s="201"/>
      <c r="Z22" s="201"/>
      <c r="AA22" s="125"/>
      <c r="AB22" s="62"/>
    </row>
    <row r="23" spans="1:28" ht="76.5" collapsed="1" x14ac:dyDescent="0.2">
      <c r="A23" s="40">
        <v>4</v>
      </c>
      <c r="B23" s="45" t="s">
        <v>4</v>
      </c>
      <c r="C23" s="191">
        <f t="shared" ref="C23:G23" si="6">SUM(C19:C22)</f>
        <v>463378</v>
      </c>
      <c r="D23" s="191">
        <f t="shared" si="6"/>
        <v>0</v>
      </c>
      <c r="E23" s="191">
        <v>201645</v>
      </c>
      <c r="F23" s="191">
        <v>1554230</v>
      </c>
      <c r="G23" s="191">
        <f t="shared" si="6"/>
        <v>0</v>
      </c>
      <c r="H23" s="191">
        <f>SUM(C23,D23,E23,F23,G23)</f>
        <v>2219253</v>
      </c>
      <c r="I23" s="184" t="s">
        <v>103</v>
      </c>
      <c r="J23" s="125"/>
      <c r="K23" s="200">
        <f>C23/$H$23</f>
        <v>0.20879908689996138</v>
      </c>
      <c r="L23" s="200">
        <f>D23/$H$23</f>
        <v>0</v>
      </c>
      <c r="M23" s="200">
        <f>E23/$H$23</f>
        <v>9.0861654800061101E-2</v>
      </c>
      <c r="N23" s="200">
        <f>F23/$H$23</f>
        <v>0.70033925829997756</v>
      </c>
      <c r="O23" s="200">
        <f>G23/$H$23</f>
        <v>0</v>
      </c>
      <c r="P23" s="125"/>
      <c r="Q23" s="155">
        <v>1014884</v>
      </c>
      <c r="R23" s="155">
        <v>396307</v>
      </c>
      <c r="S23" s="155">
        <v>327580</v>
      </c>
      <c r="T23" s="155">
        <v>26353</v>
      </c>
      <c r="U23" s="155">
        <f>SUM(Q23,R23,S23,T23)</f>
        <v>1765124</v>
      </c>
      <c r="V23" s="43" t="s">
        <v>70</v>
      </c>
      <c r="W23" s="125"/>
      <c r="X23" s="200">
        <f>(Q23+R23)/U23</f>
        <v>0.79948547524139946</v>
      </c>
      <c r="Y23" s="200">
        <f>S23/U23</f>
        <v>0.18558469546615422</v>
      </c>
      <c r="Z23" s="200">
        <f>T23/U23</f>
        <v>1.4929829292446311E-2</v>
      </c>
      <c r="AA23" s="125"/>
      <c r="AB23" s="6">
        <f>H23-U23</f>
        <v>454129</v>
      </c>
    </row>
    <row r="24" spans="1:28" s="5" customFormat="1" x14ac:dyDescent="0.2">
      <c r="A24" s="91"/>
      <c r="B24" s="26"/>
      <c r="C24" s="26"/>
      <c r="D24" s="26"/>
      <c r="E24" s="26"/>
      <c r="F24" s="26" t="s">
        <v>104</v>
      </c>
      <c r="G24" s="26"/>
      <c r="H24" s="26"/>
      <c r="I24" s="10"/>
      <c r="J24" s="11"/>
      <c r="K24" s="199"/>
      <c r="L24" s="199"/>
      <c r="M24" s="199"/>
      <c r="N24" s="199"/>
      <c r="O24" s="199"/>
      <c r="P24" s="11"/>
      <c r="Q24" s="10"/>
      <c r="R24" s="10"/>
      <c r="S24" s="10"/>
      <c r="T24" s="10"/>
      <c r="U24" s="31"/>
      <c r="V24" s="31"/>
      <c r="W24" s="11"/>
      <c r="X24" s="10"/>
      <c r="Y24" s="10"/>
      <c r="Z24" s="10"/>
      <c r="AA24" s="11"/>
      <c r="AB24" s="10"/>
    </row>
    <row r="25" spans="1:28" hidden="1" outlineLevel="1" x14ac:dyDescent="0.2">
      <c r="A25" s="88">
        <v>5</v>
      </c>
      <c r="B25" s="32" t="s">
        <v>105</v>
      </c>
      <c r="C25" s="189">
        <v>260000</v>
      </c>
      <c r="D25" s="189">
        <v>215817</v>
      </c>
      <c r="E25" s="189">
        <v>1260935.01</v>
      </c>
      <c r="F25" s="189">
        <v>1556604.01</v>
      </c>
      <c r="G25" s="189">
        <v>0</v>
      </c>
      <c r="H25" s="189">
        <f>SUM(C25:G25)</f>
        <v>3293356.02</v>
      </c>
      <c r="I25" s="184"/>
      <c r="J25" s="125"/>
      <c r="K25" s="200"/>
      <c r="L25" s="200"/>
      <c r="M25" s="200"/>
      <c r="N25" s="200"/>
      <c r="O25" s="200"/>
      <c r="P25" s="125"/>
      <c r="Q25" s="152">
        <v>2390701.16</v>
      </c>
      <c r="R25" s="152">
        <v>623525.27</v>
      </c>
      <c r="S25" s="152">
        <v>847666.27</v>
      </c>
      <c r="T25" s="152">
        <v>0</v>
      </c>
      <c r="U25" s="152">
        <f>SUM(Q25:T25)</f>
        <v>3861892.7</v>
      </c>
      <c r="V25" s="188"/>
      <c r="W25" s="125"/>
      <c r="X25" s="200"/>
      <c r="Y25" s="200"/>
      <c r="Z25" s="200"/>
      <c r="AA25" s="125"/>
      <c r="AB25" s="6">
        <f>H25-U25</f>
        <v>-568536.68000000017</v>
      </c>
    </row>
    <row r="26" spans="1:28" ht="13.5" hidden="1" outlineLevel="1" thickBot="1" x14ac:dyDescent="0.25">
      <c r="A26" s="88">
        <v>5</v>
      </c>
      <c r="B26" s="32" t="s">
        <v>106</v>
      </c>
      <c r="C26" s="190">
        <v>4073295.7</v>
      </c>
      <c r="D26" s="190">
        <v>0</v>
      </c>
      <c r="E26" s="190">
        <v>0</v>
      </c>
      <c r="F26" s="190">
        <v>0</v>
      </c>
      <c r="G26" s="190">
        <v>519878</v>
      </c>
      <c r="H26" s="190">
        <f>SUM(C26:G26)</f>
        <v>4593173.7</v>
      </c>
      <c r="I26" s="184"/>
      <c r="J26" s="125"/>
      <c r="K26" s="201"/>
      <c r="L26" s="201"/>
      <c r="M26" s="201"/>
      <c r="N26" s="201"/>
      <c r="O26" s="201"/>
      <c r="P26" s="125"/>
      <c r="Q26" s="154">
        <v>3059756.7</v>
      </c>
      <c r="R26" s="154">
        <v>588845.69999999995</v>
      </c>
      <c r="S26" s="154">
        <v>424693.3</v>
      </c>
      <c r="T26" s="154">
        <v>0</v>
      </c>
      <c r="U26" s="154">
        <f>SUM(Q26:T26)</f>
        <v>4073295.7</v>
      </c>
      <c r="V26" s="188"/>
      <c r="W26" s="125"/>
      <c r="X26" s="201"/>
      <c r="Y26" s="201"/>
      <c r="Z26" s="201"/>
      <c r="AA26" s="125"/>
      <c r="AB26" s="62">
        <f>H26-U26</f>
        <v>519878</v>
      </c>
    </row>
    <row r="27" spans="1:28" collapsed="1" x14ac:dyDescent="0.2">
      <c r="A27" s="40">
        <v>5</v>
      </c>
      <c r="B27" s="45" t="s">
        <v>4</v>
      </c>
      <c r="C27" s="191">
        <f t="shared" ref="C27:G27" si="7">SUM(C25:C26)</f>
        <v>4333295.7</v>
      </c>
      <c r="D27" s="191">
        <f t="shared" si="7"/>
        <v>215817</v>
      </c>
      <c r="E27" s="191">
        <f t="shared" si="7"/>
        <v>1260935.01</v>
      </c>
      <c r="F27" s="191">
        <f t="shared" si="7"/>
        <v>1556604.01</v>
      </c>
      <c r="G27" s="191">
        <f t="shared" si="7"/>
        <v>519878</v>
      </c>
      <c r="H27" s="191">
        <f>SUM(C27,D27,E27,F27,G27)</f>
        <v>7886529.7199999997</v>
      </c>
      <c r="I27" s="184"/>
      <c r="J27" s="125"/>
      <c r="K27" s="200">
        <f>C27/$H$27</f>
        <v>0.5494553186062171</v>
      </c>
      <c r="L27" s="200">
        <f>D27/$H$27</f>
        <v>2.7365268078898459E-2</v>
      </c>
      <c r="M27" s="200">
        <f>E27/$H$27</f>
        <v>0.15988464568925762</v>
      </c>
      <c r="N27" s="200">
        <f>F27/$H$27</f>
        <v>0.19737502618578862</v>
      </c>
      <c r="O27" s="200">
        <f>G27/$H$27</f>
        <v>6.5919741439838253E-2</v>
      </c>
      <c r="P27" s="125"/>
      <c r="Q27" s="155">
        <f t="shared" ref="Q27:T27" si="8">SUM(Q25:Q26)</f>
        <v>5450457.8600000003</v>
      </c>
      <c r="R27" s="155">
        <f t="shared" si="8"/>
        <v>1212370.97</v>
      </c>
      <c r="S27" s="155">
        <f t="shared" si="8"/>
        <v>1272359.57</v>
      </c>
      <c r="T27" s="155">
        <f t="shared" si="8"/>
        <v>0</v>
      </c>
      <c r="U27" s="155">
        <f>SUM(Q27,R27,S27,T27)</f>
        <v>7935188.4000000004</v>
      </c>
      <c r="V27" s="188"/>
      <c r="W27" s="125"/>
      <c r="X27" s="200">
        <f>(Q27+R27)/U27</f>
        <v>0.8396560351358513</v>
      </c>
      <c r="Y27" s="200">
        <f>S27/U27</f>
        <v>0.16034396486414865</v>
      </c>
      <c r="Z27" s="200">
        <f>T27/U27</f>
        <v>0</v>
      </c>
      <c r="AA27" s="125"/>
      <c r="AB27" s="6">
        <f>H27-U27</f>
        <v>-48658.680000000633</v>
      </c>
    </row>
    <row r="28" spans="1:28" s="5" customFormat="1" x14ac:dyDescent="0.2">
      <c r="A28" s="91"/>
      <c r="B28" s="26"/>
      <c r="C28" s="26"/>
      <c r="D28" s="26"/>
      <c r="E28" s="27"/>
      <c r="F28" s="27"/>
      <c r="G28" s="27"/>
      <c r="H28" s="27"/>
      <c r="I28" s="27"/>
      <c r="J28" s="11"/>
      <c r="K28" s="199"/>
      <c r="L28" s="199"/>
      <c r="M28" s="27"/>
      <c r="N28" s="27"/>
      <c r="O28" s="27"/>
      <c r="P28" s="11"/>
      <c r="Q28" s="26"/>
      <c r="R28" s="10"/>
      <c r="S28" s="10"/>
      <c r="T28" s="10"/>
      <c r="U28" s="31"/>
      <c r="V28" s="31"/>
      <c r="W28" s="11"/>
      <c r="X28" s="10"/>
      <c r="Y28" s="10"/>
      <c r="Z28" s="10"/>
      <c r="AA28" s="11"/>
      <c r="AB28" s="10"/>
    </row>
    <row r="29" spans="1:28" hidden="1" outlineLevel="1" x14ac:dyDescent="0.2">
      <c r="A29" s="88">
        <v>6</v>
      </c>
      <c r="B29" s="32" t="s">
        <v>108</v>
      </c>
      <c r="C29" s="189">
        <v>100980</v>
      </c>
      <c r="D29" s="189">
        <v>0</v>
      </c>
      <c r="E29" s="189">
        <v>27773</v>
      </c>
      <c r="F29" s="189">
        <v>683551.54</v>
      </c>
      <c r="G29" s="189">
        <v>183668</v>
      </c>
      <c r="H29" s="189">
        <f>SUM(C29:G29)</f>
        <v>995972.54</v>
      </c>
      <c r="I29" s="184"/>
      <c r="J29" s="125"/>
      <c r="K29" s="197"/>
      <c r="L29" s="197"/>
      <c r="M29" s="200"/>
      <c r="N29" s="200"/>
      <c r="O29" s="200"/>
      <c r="P29" s="125"/>
      <c r="Q29" s="152">
        <v>0</v>
      </c>
      <c r="R29" s="152">
        <v>0</v>
      </c>
      <c r="S29" s="152">
        <v>0</v>
      </c>
      <c r="T29" s="152">
        <v>0</v>
      </c>
      <c r="U29" s="152">
        <f>SUM(Q29:T29)</f>
        <v>0</v>
      </c>
      <c r="V29" s="188"/>
      <c r="W29" s="125"/>
      <c r="X29" s="200"/>
      <c r="Y29" s="200"/>
      <c r="Z29" s="200"/>
      <c r="AA29" s="125"/>
      <c r="AB29" s="6"/>
    </row>
    <row r="30" spans="1:28" hidden="1" outlineLevel="1" x14ac:dyDescent="0.2">
      <c r="A30" s="88">
        <v>6</v>
      </c>
      <c r="B30" s="32" t="s">
        <v>109</v>
      </c>
      <c r="C30" s="189">
        <v>77000</v>
      </c>
      <c r="D30" s="189">
        <v>0</v>
      </c>
      <c r="E30" s="189">
        <v>21871.8</v>
      </c>
      <c r="F30" s="189">
        <v>0</v>
      </c>
      <c r="G30" s="189">
        <v>0</v>
      </c>
      <c r="H30" s="189">
        <f>SUM(C30:G30)</f>
        <v>98871.8</v>
      </c>
      <c r="I30" s="184"/>
      <c r="J30" s="125"/>
      <c r="K30" s="197"/>
      <c r="L30" s="197"/>
      <c r="M30" s="200"/>
      <c r="N30" s="200"/>
      <c r="O30" s="200"/>
      <c r="P30" s="125"/>
      <c r="Q30" s="152">
        <v>0</v>
      </c>
      <c r="R30" s="152">
        <v>0</v>
      </c>
      <c r="S30" s="152">
        <v>0</v>
      </c>
      <c r="T30" s="152">
        <v>0</v>
      </c>
      <c r="U30" s="152">
        <f>SUM(Q30:T30)</f>
        <v>0</v>
      </c>
      <c r="V30" s="188"/>
      <c r="W30" s="125"/>
      <c r="X30" s="200"/>
      <c r="Y30" s="200"/>
      <c r="Z30" s="200"/>
      <c r="AA30" s="125"/>
      <c r="AB30" s="6"/>
    </row>
    <row r="31" spans="1:28" ht="13.5" hidden="1" outlineLevel="1" thickBot="1" x14ac:dyDescent="0.25">
      <c r="A31" s="88">
        <v>6</v>
      </c>
      <c r="B31" s="32" t="s">
        <v>110</v>
      </c>
      <c r="C31" s="190">
        <v>332000</v>
      </c>
      <c r="D31" s="190">
        <v>0</v>
      </c>
      <c r="E31" s="190">
        <v>83395</v>
      </c>
      <c r="F31" s="190">
        <v>0</v>
      </c>
      <c r="G31" s="190">
        <v>0</v>
      </c>
      <c r="H31" s="190">
        <f>SUM(C31:G31)</f>
        <v>415395</v>
      </c>
      <c r="I31" s="184"/>
      <c r="J31" s="125"/>
      <c r="K31" s="198"/>
      <c r="L31" s="198"/>
      <c r="M31" s="201"/>
      <c r="N31" s="201"/>
      <c r="O31" s="201"/>
      <c r="P31" s="125"/>
      <c r="Q31" s="154">
        <v>0</v>
      </c>
      <c r="R31" s="154">
        <v>0</v>
      </c>
      <c r="S31" s="154">
        <v>0</v>
      </c>
      <c r="T31" s="154">
        <v>0</v>
      </c>
      <c r="U31" s="154">
        <f>SUM(Q31:T31)</f>
        <v>0</v>
      </c>
      <c r="V31" s="188"/>
      <c r="W31" s="125"/>
      <c r="X31" s="201"/>
      <c r="Y31" s="201"/>
      <c r="Z31" s="201"/>
      <c r="AA31" s="125"/>
      <c r="AB31" s="62"/>
    </row>
    <row r="32" spans="1:28" ht="38.25" collapsed="1" x14ac:dyDescent="0.2">
      <c r="A32" s="40">
        <v>6</v>
      </c>
      <c r="B32" s="45" t="s">
        <v>4</v>
      </c>
      <c r="C32" s="191">
        <f t="shared" ref="C32:G32" si="9">SUM(C29:C31)</f>
        <v>509980</v>
      </c>
      <c r="D32" s="191">
        <f t="shared" si="9"/>
        <v>0</v>
      </c>
      <c r="E32" s="191">
        <f t="shared" si="9"/>
        <v>133039.79999999999</v>
      </c>
      <c r="F32" s="191">
        <f t="shared" si="9"/>
        <v>683551.54</v>
      </c>
      <c r="G32" s="191">
        <f t="shared" si="9"/>
        <v>183668</v>
      </c>
      <c r="H32" s="191">
        <f>SUM(C32,D32,E32,F32,G32)</f>
        <v>1510239.34</v>
      </c>
      <c r="I32" s="184"/>
      <c r="J32" s="125"/>
      <c r="K32" s="200">
        <f>C32/$H$32</f>
        <v>0.33768157568985058</v>
      </c>
      <c r="L32" s="200">
        <f>D32/$H$32</f>
        <v>0</v>
      </c>
      <c r="M32" s="200">
        <f>E32/$H$32</f>
        <v>8.8091864962278082E-2</v>
      </c>
      <c r="N32" s="200">
        <f>F32/$H$32</f>
        <v>0.45261139866744565</v>
      </c>
      <c r="O32" s="200">
        <f>G32/$H$32</f>
        <v>0.12161516068042566</v>
      </c>
      <c r="P32" s="125"/>
      <c r="Q32" s="155">
        <v>1258259.8</v>
      </c>
      <c r="R32" s="155">
        <f t="shared" ref="R32" si="10">SUM(R29:R31)</f>
        <v>0</v>
      </c>
      <c r="S32" s="155">
        <v>188583.94</v>
      </c>
      <c r="T32" s="155">
        <v>55806</v>
      </c>
      <c r="U32" s="155">
        <f>SUM(Q32,R32,S32,T32)</f>
        <v>1502649.74</v>
      </c>
      <c r="V32" s="188" t="s">
        <v>71</v>
      </c>
      <c r="W32" s="125"/>
      <c r="X32" s="200">
        <f>(Q32+R32)/U32</f>
        <v>0.83736067461735963</v>
      </c>
      <c r="Y32" s="200">
        <f>S32/U32</f>
        <v>0.1255009301102997</v>
      </c>
      <c r="Z32" s="200">
        <f>T32/U32</f>
        <v>3.713839527234071E-2</v>
      </c>
      <c r="AA32" s="125"/>
      <c r="AB32" s="6">
        <f>H32-U32</f>
        <v>7589.6000000000931</v>
      </c>
    </row>
    <row r="33" spans="1:28" s="5" customFormat="1" x14ac:dyDescent="0.2">
      <c r="A33" s="91"/>
      <c r="B33" s="26"/>
      <c r="C33" s="26"/>
      <c r="D33" s="26"/>
      <c r="E33" s="27"/>
      <c r="F33" s="27"/>
      <c r="G33" s="27"/>
      <c r="H33" s="27"/>
      <c r="I33" s="27"/>
      <c r="J33" s="11"/>
      <c r="K33" s="26"/>
      <c r="L33" s="26"/>
      <c r="M33" s="27"/>
      <c r="N33" s="27"/>
      <c r="O33" s="27"/>
      <c r="P33" s="11"/>
      <c r="Q33" s="26"/>
      <c r="R33" s="10"/>
      <c r="S33" s="10"/>
      <c r="T33" s="10"/>
      <c r="U33" s="31"/>
      <c r="V33" s="31"/>
      <c r="W33" s="11"/>
      <c r="X33" s="10"/>
      <c r="Y33" s="10"/>
      <c r="Z33" s="10"/>
      <c r="AA33" s="11"/>
      <c r="AB33" s="10"/>
    </row>
    <row r="34" spans="1:28" hidden="1" outlineLevel="1" x14ac:dyDescent="0.2">
      <c r="A34" s="88">
        <v>7</v>
      </c>
      <c r="B34" s="32" t="s">
        <v>111</v>
      </c>
      <c r="C34" s="189">
        <v>63107.09</v>
      </c>
      <c r="D34" s="189">
        <v>0</v>
      </c>
      <c r="E34" s="189">
        <v>0</v>
      </c>
      <c r="F34" s="189">
        <v>0</v>
      </c>
      <c r="G34" s="189"/>
      <c r="H34" s="189">
        <f>SUM(C34:G34)</f>
        <v>63107.09</v>
      </c>
      <c r="I34" s="184"/>
      <c r="J34" s="125"/>
      <c r="K34" s="200"/>
      <c r="L34" s="200"/>
      <c r="M34" s="200"/>
      <c r="N34" s="200"/>
      <c r="O34" s="200"/>
      <c r="P34" s="125"/>
      <c r="Q34" s="152">
        <v>42463.82</v>
      </c>
      <c r="R34" s="152">
        <v>12143.27</v>
      </c>
      <c r="S34" s="152">
        <v>8500</v>
      </c>
      <c r="T34" s="152">
        <v>0</v>
      </c>
      <c r="U34" s="152">
        <f>SUM(Q34:T34)</f>
        <v>63107.09</v>
      </c>
      <c r="V34" s="188"/>
      <c r="W34" s="125"/>
      <c r="X34" s="200"/>
      <c r="Y34" s="200"/>
      <c r="Z34" s="200"/>
      <c r="AA34" s="125"/>
      <c r="AB34" s="6">
        <f>H34-U34</f>
        <v>0</v>
      </c>
    </row>
    <row r="35" spans="1:28" ht="13.5" hidden="1" outlineLevel="1" thickBot="1" x14ac:dyDescent="0.25">
      <c r="A35" s="88">
        <v>7</v>
      </c>
      <c r="B35" s="32" t="s">
        <v>112</v>
      </c>
      <c r="C35" s="190">
        <v>3727430</v>
      </c>
      <c r="D35" s="190">
        <v>0</v>
      </c>
      <c r="E35" s="190">
        <v>73287</v>
      </c>
      <c r="F35" s="190">
        <v>0</v>
      </c>
      <c r="G35" s="190">
        <v>120000</v>
      </c>
      <c r="H35" s="190">
        <f>SUM(C35:G35)</f>
        <v>3920717</v>
      </c>
      <c r="I35" s="184"/>
      <c r="J35" s="125"/>
      <c r="K35" s="201"/>
      <c r="L35" s="201"/>
      <c r="M35" s="201"/>
      <c r="N35" s="201"/>
      <c r="O35" s="201"/>
      <c r="P35" s="125"/>
      <c r="Q35" s="154">
        <v>2645409</v>
      </c>
      <c r="R35" s="154">
        <v>929144</v>
      </c>
      <c r="S35" s="154">
        <v>152877</v>
      </c>
      <c r="T35" s="154">
        <v>0</v>
      </c>
      <c r="U35" s="154">
        <f>SUM(Q35:T35)</f>
        <v>3727430</v>
      </c>
      <c r="V35" s="188"/>
      <c r="W35" s="125"/>
      <c r="X35" s="201"/>
      <c r="Y35" s="201"/>
      <c r="Z35" s="201"/>
      <c r="AA35" s="125"/>
      <c r="AB35" s="62">
        <f>H35-U35</f>
        <v>193287</v>
      </c>
    </row>
    <row r="36" spans="1:28" ht="63.75" collapsed="1" x14ac:dyDescent="0.2">
      <c r="A36" s="40">
        <v>7</v>
      </c>
      <c r="B36" s="45" t="s">
        <v>4</v>
      </c>
      <c r="C36" s="191">
        <f t="shared" ref="C36:G36" si="11">SUM(C34:C35)</f>
        <v>3790537.09</v>
      </c>
      <c r="D36" s="191">
        <f t="shared" si="11"/>
        <v>0</v>
      </c>
      <c r="E36" s="191">
        <f t="shared" si="11"/>
        <v>73287</v>
      </c>
      <c r="F36" s="191">
        <f t="shared" si="11"/>
        <v>0</v>
      </c>
      <c r="G36" s="191">
        <f t="shared" si="11"/>
        <v>120000</v>
      </c>
      <c r="H36" s="191">
        <f>SUM(C36,D36,E36,F36,G36)</f>
        <v>3983824.09</v>
      </c>
      <c r="I36" s="184"/>
      <c r="J36" s="125"/>
      <c r="K36" s="200">
        <f>C36/$H$36</f>
        <v>0.95148204447952922</v>
      </c>
      <c r="L36" s="200">
        <f>D36/$H$36</f>
        <v>0</v>
      </c>
      <c r="M36" s="200">
        <f>E36/$H$36</f>
        <v>1.8396143590767834E-2</v>
      </c>
      <c r="N36" s="200">
        <f>F36/$H$36</f>
        <v>0</v>
      </c>
      <c r="O36" s="200">
        <f>G36/$H$36</f>
        <v>3.0121811929702952E-2</v>
      </c>
      <c r="P36" s="125"/>
      <c r="Q36" s="155">
        <f t="shared" ref="Q36:T36" si="12">SUM(Q34:Q35)</f>
        <v>2687872.82</v>
      </c>
      <c r="R36" s="155">
        <f t="shared" si="12"/>
        <v>941287.27</v>
      </c>
      <c r="S36" s="155">
        <f t="shared" si="12"/>
        <v>161377</v>
      </c>
      <c r="T36" s="155">
        <f t="shared" si="12"/>
        <v>0</v>
      </c>
      <c r="U36" s="155">
        <f>SUM(Q36,R36,S36,T36)</f>
        <v>3790537.09</v>
      </c>
      <c r="V36" s="188" t="s">
        <v>72</v>
      </c>
      <c r="W36" s="125"/>
      <c r="X36" s="200">
        <f>(Q36+R36)/U36</f>
        <v>0.95742634983687758</v>
      </c>
      <c r="Y36" s="200">
        <f>S36/U36</f>
        <v>4.2573650163122402E-2</v>
      </c>
      <c r="Z36" s="200">
        <f>T36/U36</f>
        <v>0</v>
      </c>
      <c r="AA36" s="125"/>
      <c r="AB36" s="6">
        <f>H36-U36</f>
        <v>193287</v>
      </c>
    </row>
    <row r="37" spans="1:28" s="5" customFormat="1" x14ac:dyDescent="0.2">
      <c r="A37" s="91"/>
      <c r="B37" s="26"/>
      <c r="C37" s="26"/>
      <c r="D37" s="26"/>
      <c r="E37" s="27"/>
      <c r="F37" s="27"/>
      <c r="G37" s="27"/>
      <c r="H37" s="27"/>
      <c r="I37" s="27"/>
      <c r="J37" s="11"/>
      <c r="K37" s="26"/>
      <c r="L37" s="26"/>
      <c r="M37" s="27"/>
      <c r="N37" s="27"/>
      <c r="O37" s="27"/>
      <c r="P37" s="11"/>
      <c r="Q37" s="26"/>
      <c r="R37" s="10"/>
      <c r="S37" s="10"/>
      <c r="T37" s="10"/>
      <c r="U37" s="31"/>
      <c r="V37" s="31"/>
      <c r="W37" s="11"/>
      <c r="X37" s="10"/>
      <c r="Y37" s="10"/>
      <c r="Z37" s="10"/>
      <c r="AA37" s="11"/>
      <c r="AB37" s="10"/>
    </row>
    <row r="38" spans="1:28" hidden="1" outlineLevel="1" x14ac:dyDescent="0.2">
      <c r="A38" s="88">
        <v>8</v>
      </c>
      <c r="B38" s="32" t="s">
        <v>113</v>
      </c>
      <c r="C38" s="189">
        <v>0</v>
      </c>
      <c r="D38" s="189">
        <v>0</v>
      </c>
      <c r="E38" s="189">
        <v>0</v>
      </c>
      <c r="F38" s="189">
        <v>0</v>
      </c>
      <c r="G38" s="189">
        <v>0</v>
      </c>
      <c r="H38" s="189">
        <v>0</v>
      </c>
      <c r="I38" s="184"/>
      <c r="J38" s="125"/>
      <c r="K38" s="200"/>
      <c r="L38" s="200"/>
      <c r="M38" s="200"/>
      <c r="N38" s="200"/>
      <c r="O38" s="200"/>
      <c r="P38" s="125"/>
      <c r="Q38" s="152">
        <v>0</v>
      </c>
      <c r="R38" s="152">
        <v>0</v>
      </c>
      <c r="S38" s="152">
        <v>0</v>
      </c>
      <c r="T38" s="152">
        <v>0</v>
      </c>
      <c r="U38" s="152">
        <f>SUM(Q38:T38)</f>
        <v>0</v>
      </c>
      <c r="V38" s="188"/>
      <c r="W38" s="125"/>
      <c r="X38" s="200"/>
      <c r="Y38" s="200"/>
      <c r="Z38" s="200"/>
      <c r="AA38" s="125"/>
      <c r="AB38" s="6">
        <f>H38-U38</f>
        <v>0</v>
      </c>
    </row>
    <row r="39" spans="1:28" hidden="1" outlineLevel="1" x14ac:dyDescent="0.2">
      <c r="A39" s="88">
        <v>8</v>
      </c>
      <c r="B39" s="32" t="s">
        <v>114</v>
      </c>
      <c r="C39" s="189">
        <v>0</v>
      </c>
      <c r="D39" s="189">
        <v>0</v>
      </c>
      <c r="E39" s="189">
        <v>0</v>
      </c>
      <c r="F39" s="189">
        <v>0</v>
      </c>
      <c r="G39" s="189">
        <v>0</v>
      </c>
      <c r="H39" s="189">
        <f>SUM(C39:G39)</f>
        <v>0</v>
      </c>
      <c r="I39" s="184"/>
      <c r="J39" s="125"/>
      <c r="K39" s="200"/>
      <c r="L39" s="200"/>
      <c r="M39" s="200"/>
      <c r="N39" s="200"/>
      <c r="O39" s="200"/>
      <c r="P39" s="125"/>
      <c r="Q39" s="152">
        <v>0</v>
      </c>
      <c r="R39" s="152">
        <v>0</v>
      </c>
      <c r="S39" s="152">
        <v>0</v>
      </c>
      <c r="T39" s="152">
        <v>0</v>
      </c>
      <c r="U39" s="152">
        <f>SUM(Q39:T39)</f>
        <v>0</v>
      </c>
      <c r="V39" s="188"/>
      <c r="W39" s="125"/>
      <c r="X39" s="200"/>
      <c r="Y39" s="200"/>
      <c r="Z39" s="200"/>
      <c r="AA39" s="125"/>
      <c r="AB39" s="6">
        <f>H39-U39</f>
        <v>0</v>
      </c>
    </row>
    <row r="40" spans="1:28" hidden="1" outlineLevel="1" x14ac:dyDescent="0.2">
      <c r="A40" s="88">
        <v>8</v>
      </c>
      <c r="B40" s="32" t="s">
        <v>115</v>
      </c>
      <c r="C40" s="189">
        <v>0</v>
      </c>
      <c r="D40" s="189">
        <v>0</v>
      </c>
      <c r="E40" s="189">
        <v>0</v>
      </c>
      <c r="F40" s="189">
        <v>0</v>
      </c>
      <c r="G40" s="189">
        <v>0</v>
      </c>
      <c r="H40" s="189">
        <f>SUM(C40:G40)</f>
        <v>0</v>
      </c>
      <c r="I40" s="184"/>
      <c r="J40" s="125"/>
      <c r="K40" s="200"/>
      <c r="L40" s="200"/>
      <c r="M40" s="200"/>
      <c r="N40" s="200"/>
      <c r="O40" s="200"/>
      <c r="P40" s="125"/>
      <c r="Q40" s="152">
        <v>0</v>
      </c>
      <c r="R40" s="152">
        <v>0</v>
      </c>
      <c r="S40" s="152">
        <v>0</v>
      </c>
      <c r="T40" s="152">
        <v>0</v>
      </c>
      <c r="U40" s="152">
        <f>SUM(Q40:T40)</f>
        <v>0</v>
      </c>
      <c r="V40" s="188"/>
      <c r="W40" s="125"/>
      <c r="X40" s="200"/>
      <c r="Y40" s="200"/>
      <c r="Z40" s="200"/>
      <c r="AA40" s="125"/>
      <c r="AB40" s="6">
        <f>H40-U40</f>
        <v>0</v>
      </c>
    </row>
    <row r="41" spans="1:28" ht="13.5" hidden="1" outlineLevel="1" thickBot="1" x14ac:dyDescent="0.25">
      <c r="A41" s="88">
        <v>8</v>
      </c>
      <c r="B41" s="32" t="s">
        <v>116</v>
      </c>
      <c r="C41" s="190">
        <v>0</v>
      </c>
      <c r="D41" s="190">
        <v>0</v>
      </c>
      <c r="E41" s="190">
        <v>0</v>
      </c>
      <c r="F41" s="190">
        <v>0</v>
      </c>
      <c r="G41" s="190">
        <v>0</v>
      </c>
      <c r="H41" s="190">
        <f>SUM(C41:G41)</f>
        <v>0</v>
      </c>
      <c r="I41" s="184"/>
      <c r="J41" s="125"/>
      <c r="K41" s="201"/>
      <c r="L41" s="201"/>
      <c r="M41" s="201"/>
      <c r="N41" s="201"/>
      <c r="O41" s="201"/>
      <c r="P41" s="125"/>
      <c r="Q41" s="154">
        <v>0</v>
      </c>
      <c r="R41" s="154">
        <v>0</v>
      </c>
      <c r="S41" s="154">
        <v>0</v>
      </c>
      <c r="T41" s="154">
        <v>0</v>
      </c>
      <c r="U41" s="154">
        <f>SUM(Q41:T41)</f>
        <v>0</v>
      </c>
      <c r="V41" s="188"/>
      <c r="W41" s="125"/>
      <c r="X41" s="201"/>
      <c r="Y41" s="201"/>
      <c r="Z41" s="201"/>
      <c r="AA41" s="125"/>
      <c r="AB41" s="62">
        <f>H41-U41</f>
        <v>0</v>
      </c>
    </row>
    <row r="42" spans="1:28" ht="63.75" collapsed="1" x14ac:dyDescent="0.2">
      <c r="A42" s="40">
        <v>8</v>
      </c>
      <c r="B42" s="45" t="s">
        <v>4</v>
      </c>
      <c r="C42" s="191">
        <v>782505</v>
      </c>
      <c r="D42" s="191">
        <f t="shared" ref="D42" si="13">SUM(D38:D41)</f>
        <v>0</v>
      </c>
      <c r="E42" s="191">
        <v>400617.08</v>
      </c>
      <c r="F42" s="191">
        <v>901772.53</v>
      </c>
      <c r="G42" s="191">
        <v>102928</v>
      </c>
      <c r="H42" s="191">
        <f>SUM(C42,D42,E42,F42,G42)</f>
        <v>2187822.6100000003</v>
      </c>
      <c r="I42" s="184" t="s">
        <v>117</v>
      </c>
      <c r="J42" s="125"/>
      <c r="K42" s="200">
        <f>C42/$H$42</f>
        <v>0.35766382357662896</v>
      </c>
      <c r="L42" s="200">
        <f>D42/$H$42</f>
        <v>0</v>
      </c>
      <c r="M42" s="200">
        <f>E42/$H$42</f>
        <v>0.18311223138881444</v>
      </c>
      <c r="N42" s="200">
        <f>F42/$H$42</f>
        <v>0.41217808330447775</v>
      </c>
      <c r="O42" s="200">
        <f>G42/$H$42</f>
        <v>4.7045861730078742E-2</v>
      </c>
      <c r="P42" s="125"/>
      <c r="Q42" s="155">
        <v>1522961.81</v>
      </c>
      <c r="R42" s="155">
        <v>449175.9</v>
      </c>
      <c r="S42" s="155">
        <v>264668.94</v>
      </c>
      <c r="T42" s="155">
        <f t="shared" ref="T42" si="14">SUM(T38:T41)</f>
        <v>0</v>
      </c>
      <c r="U42" s="155">
        <f>SUM(Q42,R42,S42,T42)</f>
        <v>2236806.65</v>
      </c>
      <c r="V42" s="188" t="s">
        <v>73</v>
      </c>
      <c r="W42" s="125"/>
      <c r="X42" s="200">
        <f>(Q42+R42)/U42</f>
        <v>0.88167553954652278</v>
      </c>
      <c r="Y42" s="200">
        <f>S42/U42</f>
        <v>0.11832446045347729</v>
      </c>
      <c r="Z42" s="200">
        <f>T42/U42</f>
        <v>0</v>
      </c>
      <c r="AA42" s="125"/>
      <c r="AB42" s="6">
        <f>H42-U42</f>
        <v>-48984.039999999572</v>
      </c>
    </row>
    <row r="43" spans="1:28" s="5" customFormat="1" x14ac:dyDescent="0.2">
      <c r="A43" s="91"/>
      <c r="B43" s="26"/>
      <c r="C43" s="26"/>
      <c r="D43" s="26"/>
      <c r="E43" s="27"/>
      <c r="F43" s="27"/>
      <c r="G43" s="27"/>
      <c r="H43" s="27"/>
      <c r="I43" s="27"/>
      <c r="J43" s="11"/>
      <c r="K43" s="26"/>
      <c r="L43" s="26"/>
      <c r="M43" s="27"/>
      <c r="N43" s="27"/>
      <c r="O43" s="27"/>
      <c r="P43" s="11"/>
      <c r="Q43" s="26"/>
      <c r="R43" s="10"/>
      <c r="S43" s="10"/>
      <c r="T43" s="10"/>
      <c r="U43" s="31"/>
      <c r="V43" s="31"/>
      <c r="W43" s="11"/>
      <c r="X43" s="10"/>
      <c r="Y43" s="10"/>
      <c r="Z43" s="10"/>
      <c r="AA43" s="11"/>
      <c r="AB43" s="10"/>
    </row>
    <row r="44" spans="1:28" s="29" customFormat="1" hidden="1" outlineLevel="1" x14ac:dyDescent="0.2">
      <c r="A44" s="88">
        <v>9</v>
      </c>
      <c r="B44" s="32" t="s">
        <v>118</v>
      </c>
      <c r="C44" s="189">
        <v>1310586.43</v>
      </c>
      <c r="D44" s="189">
        <v>0</v>
      </c>
      <c r="E44" s="189">
        <v>238707.95</v>
      </c>
      <c r="F44" s="189">
        <v>284881.8</v>
      </c>
      <c r="G44" s="189">
        <v>0</v>
      </c>
      <c r="H44" s="189">
        <f>SUM(C44:G44)</f>
        <v>1834176.18</v>
      </c>
      <c r="I44" s="184"/>
      <c r="J44" s="125"/>
      <c r="K44" s="200"/>
      <c r="L44" s="200"/>
      <c r="M44" s="200"/>
      <c r="N44" s="200"/>
      <c r="O44" s="200"/>
      <c r="P44" s="125"/>
      <c r="Q44" s="152">
        <v>1233670.5</v>
      </c>
      <c r="R44" s="152">
        <v>455262.38</v>
      </c>
      <c r="S44" s="152">
        <v>98943.28</v>
      </c>
      <c r="T44" s="152">
        <v>0</v>
      </c>
      <c r="U44" s="152">
        <f>SUM(Q44:T44)</f>
        <v>1787876.16</v>
      </c>
      <c r="V44" s="188"/>
      <c r="W44" s="125"/>
      <c r="X44" s="200"/>
      <c r="Y44" s="200"/>
      <c r="Z44" s="200"/>
      <c r="AA44" s="125"/>
      <c r="AB44" s="6">
        <f>H44-U44</f>
        <v>46300.020000000019</v>
      </c>
    </row>
    <row r="45" spans="1:28" s="29" customFormat="1" ht="13.5" hidden="1" outlineLevel="1" thickBot="1" x14ac:dyDescent="0.25">
      <c r="A45" s="88">
        <v>9</v>
      </c>
      <c r="B45" s="32" t="s">
        <v>119</v>
      </c>
      <c r="C45" s="190">
        <v>5736980.1799999997</v>
      </c>
      <c r="D45" s="190">
        <v>183489.4</v>
      </c>
      <c r="E45" s="190">
        <v>723065.72</v>
      </c>
      <c r="F45" s="190">
        <v>1624255.47</v>
      </c>
      <c r="G45" s="190">
        <v>332947.53999999998</v>
      </c>
      <c r="H45" s="190">
        <f>SUM(C45:G45)</f>
        <v>8600738.3099999987</v>
      </c>
      <c r="I45" s="184"/>
      <c r="J45" s="125"/>
      <c r="K45" s="201"/>
      <c r="L45" s="201"/>
      <c r="M45" s="201"/>
      <c r="N45" s="201"/>
      <c r="O45" s="201"/>
      <c r="P45" s="125"/>
      <c r="Q45" s="154">
        <v>5549911.2199999997</v>
      </c>
      <c r="R45" s="154">
        <v>2133079.59</v>
      </c>
      <c r="S45" s="154">
        <v>569570.61</v>
      </c>
      <c r="T45" s="154">
        <v>0</v>
      </c>
      <c r="U45" s="154">
        <f>SUM(Q45:T45)</f>
        <v>8252561.4199999999</v>
      </c>
      <c r="V45" s="188"/>
      <c r="W45" s="125"/>
      <c r="X45" s="201"/>
      <c r="Y45" s="201"/>
      <c r="Z45" s="201"/>
      <c r="AA45" s="125"/>
      <c r="AB45" s="62">
        <f>H45-U45</f>
        <v>348176.88999999873</v>
      </c>
    </row>
    <row r="46" spans="1:28" collapsed="1" x14ac:dyDescent="0.2">
      <c r="A46" s="40">
        <v>9</v>
      </c>
      <c r="B46" s="45" t="s">
        <v>4</v>
      </c>
      <c r="C46" s="191">
        <f t="shared" ref="C46:G46" si="15">SUM(C44:C45)</f>
        <v>7047566.6099999994</v>
      </c>
      <c r="D46" s="191">
        <f t="shared" si="15"/>
        <v>183489.4</v>
      </c>
      <c r="E46" s="191">
        <f t="shared" si="15"/>
        <v>961773.66999999993</v>
      </c>
      <c r="F46" s="191">
        <f t="shared" si="15"/>
        <v>1909137.27</v>
      </c>
      <c r="G46" s="191">
        <f t="shared" si="15"/>
        <v>332947.53999999998</v>
      </c>
      <c r="H46" s="191">
        <f>SUM(C46,D46,E46,F46,G46)</f>
        <v>10434914.489999998</v>
      </c>
      <c r="I46" s="184"/>
      <c r="J46" s="125"/>
      <c r="K46" s="200">
        <f>C46/$H$46</f>
        <v>0.67538326420919248</v>
      </c>
      <c r="L46" s="200">
        <f>D46/$H$46</f>
        <v>1.7584178593494159E-2</v>
      </c>
      <c r="M46" s="200">
        <f>E46/$H$46</f>
        <v>9.216881182128403E-2</v>
      </c>
      <c r="N46" s="200">
        <f>F46/$H$46</f>
        <v>0.18295667605418015</v>
      </c>
      <c r="O46" s="200">
        <f>G46/$H$46</f>
        <v>3.1907069321849328E-2</v>
      </c>
      <c r="P46" s="125"/>
      <c r="Q46" s="155">
        <f t="shared" ref="Q46:T46" si="16">SUM(Q44:Q45)</f>
        <v>6783581.7199999997</v>
      </c>
      <c r="R46" s="155">
        <f t="shared" si="16"/>
        <v>2588341.9699999997</v>
      </c>
      <c r="S46" s="155">
        <f t="shared" si="16"/>
        <v>668513.89</v>
      </c>
      <c r="T46" s="155">
        <f t="shared" si="16"/>
        <v>0</v>
      </c>
      <c r="U46" s="155">
        <f>SUM(Q46,R46,S46,T46)</f>
        <v>10040437.58</v>
      </c>
      <c r="V46" s="188"/>
      <c r="W46" s="125"/>
      <c r="X46" s="200">
        <f>(Q46+R46)/U46</f>
        <v>0.93341785308922753</v>
      </c>
      <c r="Y46" s="200">
        <f>S46/U46</f>
        <v>6.6582146910772383E-2</v>
      </c>
      <c r="Z46" s="200">
        <f>T46/U46</f>
        <v>0</v>
      </c>
      <c r="AA46" s="125"/>
      <c r="AB46" s="6">
        <f>H46-U46</f>
        <v>394476.90999999829</v>
      </c>
    </row>
    <row r="47" spans="1:28" x14ac:dyDescent="0.2">
      <c r="A47" s="90"/>
      <c r="B47" s="72"/>
      <c r="C47" s="26"/>
      <c r="D47" s="26"/>
      <c r="E47" s="27"/>
      <c r="F47" s="27"/>
      <c r="G47" s="27"/>
      <c r="H47" s="27"/>
      <c r="I47" s="27"/>
      <c r="J47" s="125"/>
      <c r="K47" s="26"/>
      <c r="L47" s="26"/>
      <c r="M47" s="27"/>
      <c r="N47" s="27"/>
      <c r="O47" s="27"/>
      <c r="P47" s="125"/>
      <c r="Q47" s="10"/>
      <c r="R47" s="10"/>
      <c r="S47" s="10"/>
      <c r="T47" s="10"/>
      <c r="U47" s="31"/>
      <c r="V47" s="31"/>
      <c r="W47" s="125"/>
      <c r="X47" s="10"/>
      <c r="Y47" s="10"/>
      <c r="Z47" s="10"/>
      <c r="AA47" s="125"/>
      <c r="AB47" s="10"/>
    </row>
    <row r="48" spans="1:28" hidden="1" outlineLevel="1" x14ac:dyDescent="0.2">
      <c r="A48" s="88">
        <v>10</v>
      </c>
      <c r="B48" s="32" t="s">
        <v>120</v>
      </c>
      <c r="C48" s="189">
        <v>1554171.44</v>
      </c>
      <c r="D48" s="189">
        <v>0</v>
      </c>
      <c r="E48" s="189">
        <v>382827.7</v>
      </c>
      <c r="F48" s="189">
        <v>745917.7</v>
      </c>
      <c r="G48" s="189">
        <v>0</v>
      </c>
      <c r="H48" s="189">
        <f>SUM(C48:G48)</f>
        <v>2682916.84</v>
      </c>
      <c r="I48" s="184"/>
      <c r="J48" s="125"/>
      <c r="K48" s="200"/>
      <c r="L48" s="200"/>
      <c r="M48" s="200"/>
      <c r="N48" s="200"/>
      <c r="O48" s="200"/>
      <c r="P48" s="125"/>
      <c r="Q48" s="152">
        <v>2010773.31</v>
      </c>
      <c r="R48" s="152">
        <v>676601.44</v>
      </c>
      <c r="S48" s="152">
        <v>598030.37</v>
      </c>
      <c r="T48" s="152">
        <v>0</v>
      </c>
      <c r="U48" s="152">
        <f>SUM(Q48:T48)</f>
        <v>3285405.12</v>
      </c>
      <c r="V48" s="188"/>
      <c r="W48" s="125"/>
      <c r="X48" s="200"/>
      <c r="Y48" s="200"/>
      <c r="Z48" s="200"/>
      <c r="AA48" s="125"/>
      <c r="AB48" s="6">
        <f>H48-U48</f>
        <v>-602488.28000000026</v>
      </c>
    </row>
    <row r="49" spans="1:28" ht="13.5" hidden="1" outlineLevel="1" thickBot="1" x14ac:dyDescent="0.25">
      <c r="A49" s="88">
        <v>10</v>
      </c>
      <c r="B49" s="32" t="s">
        <v>121</v>
      </c>
      <c r="C49" s="190">
        <v>720257.1</v>
      </c>
      <c r="D49" s="190">
        <v>0</v>
      </c>
      <c r="E49" s="190">
        <v>91892.34</v>
      </c>
      <c r="F49" s="190">
        <v>0</v>
      </c>
      <c r="G49" s="190">
        <v>0</v>
      </c>
      <c r="H49" s="190">
        <f>SUM(C49:G49)</f>
        <v>812149.44</v>
      </c>
      <c r="I49" s="184"/>
      <c r="J49" s="125"/>
      <c r="K49" s="201"/>
      <c r="L49" s="201"/>
      <c r="M49" s="201"/>
      <c r="N49" s="201"/>
      <c r="O49" s="201"/>
      <c r="P49" s="125"/>
      <c r="Q49" s="154">
        <v>579286.64</v>
      </c>
      <c r="R49" s="154">
        <v>196527.69</v>
      </c>
      <c r="S49" s="154">
        <v>61324.3</v>
      </c>
      <c r="T49" s="154">
        <v>25427</v>
      </c>
      <c r="U49" s="154">
        <f>SUM(Q49:T49)</f>
        <v>862565.63000000012</v>
      </c>
      <c r="V49" s="188"/>
      <c r="W49" s="125"/>
      <c r="X49" s="201"/>
      <c r="Y49" s="201"/>
      <c r="Z49" s="201"/>
      <c r="AA49" s="125"/>
      <c r="AB49" s="62">
        <f>H49-U49</f>
        <v>-50416.190000000177</v>
      </c>
    </row>
    <row r="50" spans="1:28" collapsed="1" x14ac:dyDescent="0.2">
      <c r="A50" s="40">
        <v>10</v>
      </c>
      <c r="B50" s="45" t="s">
        <v>4</v>
      </c>
      <c r="C50" s="191">
        <f t="shared" ref="C50:G50" si="17">SUM(C48:C49)</f>
        <v>2274428.54</v>
      </c>
      <c r="D50" s="191">
        <f t="shared" si="17"/>
        <v>0</v>
      </c>
      <c r="E50" s="191">
        <f t="shared" si="17"/>
        <v>474720.04000000004</v>
      </c>
      <c r="F50" s="191">
        <f t="shared" si="17"/>
        <v>745917.7</v>
      </c>
      <c r="G50" s="191">
        <f t="shared" si="17"/>
        <v>0</v>
      </c>
      <c r="H50" s="191">
        <f>SUM(C50,D50,E50,F50,G50)</f>
        <v>3495066.2800000003</v>
      </c>
      <c r="I50" s="184"/>
      <c r="J50" s="125"/>
      <c r="K50" s="200">
        <f>C50/$H$50</f>
        <v>0.65075405093605254</v>
      </c>
      <c r="L50" s="200">
        <f>D50/$H$50</f>
        <v>0</v>
      </c>
      <c r="M50" s="200">
        <f>E50/$H$50</f>
        <v>0.13582576179356462</v>
      </c>
      <c r="N50" s="200">
        <f>F50/$H$50</f>
        <v>0.21342018727038273</v>
      </c>
      <c r="O50" s="200">
        <f>G50/$H$50</f>
        <v>0</v>
      </c>
      <c r="P50" s="125"/>
      <c r="Q50" s="155">
        <f t="shared" ref="Q50:T50" si="18">SUM(Q48:Q49)</f>
        <v>2590059.9500000002</v>
      </c>
      <c r="R50" s="155">
        <f t="shared" si="18"/>
        <v>873129.12999999989</v>
      </c>
      <c r="S50" s="155">
        <f t="shared" si="18"/>
        <v>659354.67000000004</v>
      </c>
      <c r="T50" s="155">
        <f t="shared" si="18"/>
        <v>25427</v>
      </c>
      <c r="U50" s="155">
        <f>SUM(Q50,R50,S50,T50)</f>
        <v>4147970.75</v>
      </c>
      <c r="V50" s="188"/>
      <c r="W50" s="125"/>
      <c r="X50" s="200">
        <f>(Q50+R50)/U50</f>
        <v>0.83491164444686594</v>
      </c>
      <c r="Y50" s="200">
        <f>S50/U50</f>
        <v>0.15895837018619285</v>
      </c>
      <c r="Z50" s="200">
        <f>T50/U50</f>
        <v>6.129985366941172E-3</v>
      </c>
      <c r="AA50" s="125"/>
      <c r="AB50" s="6">
        <f>H50-U50</f>
        <v>-652904.46999999974</v>
      </c>
    </row>
    <row r="51" spans="1:28" x14ac:dyDescent="0.2">
      <c r="A51" s="90"/>
      <c r="B51" s="72"/>
      <c r="C51" s="26"/>
      <c r="D51" s="26"/>
      <c r="E51" s="27"/>
      <c r="F51" s="27"/>
      <c r="G51" s="27"/>
      <c r="H51" s="27"/>
      <c r="I51" s="27"/>
      <c r="J51" s="125"/>
      <c r="K51" s="26"/>
      <c r="L51" s="26"/>
      <c r="M51" s="27"/>
      <c r="N51" s="27"/>
      <c r="O51" s="27"/>
      <c r="P51" s="125"/>
      <c r="Q51" s="10"/>
      <c r="R51" s="10"/>
      <c r="S51" s="10"/>
      <c r="T51" s="10"/>
      <c r="U51" s="31"/>
      <c r="V51" s="31"/>
      <c r="W51" s="125"/>
      <c r="X51" s="10"/>
      <c r="Y51" s="10"/>
      <c r="Z51" s="10"/>
      <c r="AA51" s="125"/>
      <c r="AB51" s="10"/>
    </row>
    <row r="52" spans="1:28" ht="38.25" hidden="1" outlineLevel="1" x14ac:dyDescent="0.2">
      <c r="A52" s="88">
        <v>11</v>
      </c>
      <c r="B52" s="32" t="s">
        <v>122</v>
      </c>
      <c r="C52" s="189">
        <v>0</v>
      </c>
      <c r="D52" s="189">
        <v>0</v>
      </c>
      <c r="E52" s="189">
        <v>0</v>
      </c>
      <c r="F52" s="189">
        <v>0</v>
      </c>
      <c r="G52" s="189">
        <v>0</v>
      </c>
      <c r="H52" s="189">
        <f>SUM(C52:G52)</f>
        <v>0</v>
      </c>
      <c r="I52" s="188" t="s">
        <v>74</v>
      </c>
      <c r="J52" s="125"/>
      <c r="K52" s="200"/>
      <c r="L52" s="200"/>
      <c r="M52" s="200"/>
      <c r="N52" s="200"/>
      <c r="O52" s="200"/>
      <c r="P52" s="125"/>
      <c r="Q52" s="152">
        <v>0</v>
      </c>
      <c r="R52" s="152">
        <v>0</v>
      </c>
      <c r="S52" s="152">
        <v>0</v>
      </c>
      <c r="T52" s="152">
        <v>0</v>
      </c>
      <c r="U52" s="152">
        <f>SUM(Q52:T52)</f>
        <v>0</v>
      </c>
      <c r="V52" s="188" t="s">
        <v>74</v>
      </c>
      <c r="W52" s="125"/>
      <c r="X52" s="200"/>
      <c r="Y52" s="200"/>
      <c r="Z52" s="200"/>
      <c r="AA52" s="125"/>
      <c r="AB52" s="6">
        <f>H52-U52</f>
        <v>0</v>
      </c>
    </row>
    <row r="53" spans="1:28" hidden="1" outlineLevel="1" x14ac:dyDescent="0.2">
      <c r="A53" s="88">
        <v>11</v>
      </c>
      <c r="B53" s="32" t="s">
        <v>123</v>
      </c>
      <c r="C53" s="189">
        <v>0</v>
      </c>
      <c r="D53" s="189">
        <v>0</v>
      </c>
      <c r="E53" s="189">
        <v>0</v>
      </c>
      <c r="F53" s="189">
        <v>0</v>
      </c>
      <c r="G53" s="189">
        <v>0</v>
      </c>
      <c r="H53" s="189">
        <f>SUM(C53:G53)</f>
        <v>0</v>
      </c>
      <c r="I53" s="184"/>
      <c r="J53" s="125"/>
      <c r="K53" s="200"/>
      <c r="L53" s="200"/>
      <c r="M53" s="200"/>
      <c r="N53" s="200"/>
      <c r="O53" s="200"/>
      <c r="P53" s="125"/>
      <c r="Q53" s="152">
        <v>0</v>
      </c>
      <c r="R53" s="152">
        <v>0</v>
      </c>
      <c r="S53" s="152">
        <v>0</v>
      </c>
      <c r="T53" s="152">
        <v>0</v>
      </c>
      <c r="U53" s="152">
        <f>SUM(Q53:T53)</f>
        <v>0</v>
      </c>
      <c r="V53" s="188"/>
      <c r="W53" s="125"/>
      <c r="X53" s="200"/>
      <c r="Y53" s="200"/>
      <c r="Z53" s="200"/>
      <c r="AA53" s="125"/>
      <c r="AB53" s="6">
        <f>H53-U53</f>
        <v>0</v>
      </c>
    </row>
    <row r="54" spans="1:28" hidden="1" outlineLevel="1" x14ac:dyDescent="0.2">
      <c r="A54" s="88">
        <v>11</v>
      </c>
      <c r="B54" s="32" t="s">
        <v>124</v>
      </c>
      <c r="C54" s="189">
        <v>0</v>
      </c>
      <c r="D54" s="189">
        <v>0</v>
      </c>
      <c r="E54" s="189">
        <v>0</v>
      </c>
      <c r="F54" s="189">
        <v>0</v>
      </c>
      <c r="G54" s="189">
        <v>0</v>
      </c>
      <c r="H54" s="189">
        <f>SUM(C54:G54)</f>
        <v>0</v>
      </c>
      <c r="I54" s="184"/>
      <c r="J54" s="125"/>
      <c r="K54" s="200"/>
      <c r="L54" s="200"/>
      <c r="M54" s="200"/>
      <c r="N54" s="200"/>
      <c r="O54" s="200"/>
      <c r="P54" s="125"/>
      <c r="Q54" s="152">
        <v>0</v>
      </c>
      <c r="R54" s="152">
        <v>0</v>
      </c>
      <c r="S54" s="152">
        <v>0</v>
      </c>
      <c r="T54" s="152">
        <v>0</v>
      </c>
      <c r="U54" s="152">
        <f>SUM(Q54:T54)</f>
        <v>0</v>
      </c>
      <c r="V54" s="188"/>
      <c r="W54" s="125"/>
      <c r="X54" s="200"/>
      <c r="Y54" s="200"/>
      <c r="Z54" s="200"/>
      <c r="AA54" s="125"/>
      <c r="AB54" s="6">
        <f>H54-U54</f>
        <v>0</v>
      </c>
    </row>
    <row r="55" spans="1:28" ht="13.5" hidden="1" outlineLevel="1" thickBot="1" x14ac:dyDescent="0.25">
      <c r="A55" s="88">
        <v>11</v>
      </c>
      <c r="B55" s="32" t="s">
        <v>125</v>
      </c>
      <c r="C55" s="190">
        <v>0</v>
      </c>
      <c r="D55" s="190">
        <v>0</v>
      </c>
      <c r="E55" s="190">
        <v>0</v>
      </c>
      <c r="F55" s="190">
        <v>0</v>
      </c>
      <c r="G55" s="190">
        <v>0</v>
      </c>
      <c r="H55" s="190">
        <f>SUM(C55:G55)</f>
        <v>0</v>
      </c>
      <c r="I55" s="184"/>
      <c r="J55" s="125"/>
      <c r="K55" s="201"/>
      <c r="L55" s="201"/>
      <c r="M55" s="201"/>
      <c r="N55" s="201"/>
      <c r="O55" s="201"/>
      <c r="P55" s="125"/>
      <c r="Q55" s="154">
        <v>0</v>
      </c>
      <c r="R55" s="154">
        <v>0</v>
      </c>
      <c r="S55" s="154">
        <v>0</v>
      </c>
      <c r="T55" s="154">
        <v>0</v>
      </c>
      <c r="U55" s="154">
        <f>SUM(Q55:T55)</f>
        <v>0</v>
      </c>
      <c r="V55" s="188"/>
      <c r="W55" s="125"/>
      <c r="X55" s="201"/>
      <c r="Y55" s="201"/>
      <c r="Z55" s="201"/>
      <c r="AA55" s="125"/>
      <c r="AB55" s="62">
        <f>H55-U55</f>
        <v>0</v>
      </c>
    </row>
    <row r="56" spans="1:28" collapsed="1" x14ac:dyDescent="0.2">
      <c r="A56" s="40">
        <v>11</v>
      </c>
      <c r="B56" s="45" t="s">
        <v>4</v>
      </c>
      <c r="C56" s="191">
        <f t="shared" ref="C56:G56" si="19">SUM(C52:C55)</f>
        <v>0</v>
      </c>
      <c r="D56" s="191">
        <f t="shared" si="19"/>
        <v>0</v>
      </c>
      <c r="E56" s="191">
        <f t="shared" si="19"/>
        <v>0</v>
      </c>
      <c r="F56" s="191">
        <f t="shared" si="19"/>
        <v>0</v>
      </c>
      <c r="G56" s="191">
        <f t="shared" si="19"/>
        <v>0</v>
      </c>
      <c r="H56" s="191">
        <f>SUM(C56,D56,E56,F56,G56)</f>
        <v>0</v>
      </c>
      <c r="I56" s="184"/>
      <c r="J56" s="125"/>
      <c r="K56" s="200" t="e">
        <f>C56/$H$56</f>
        <v>#DIV/0!</v>
      </c>
      <c r="L56" s="200" t="e">
        <f>D56/$H$56</f>
        <v>#DIV/0!</v>
      </c>
      <c r="M56" s="200" t="e">
        <f>E56/$H$56</f>
        <v>#DIV/0!</v>
      </c>
      <c r="N56" s="200" t="e">
        <f>F56/$H$56</f>
        <v>#DIV/0!</v>
      </c>
      <c r="O56" s="200" t="e">
        <f>G56/$H$56</f>
        <v>#DIV/0!</v>
      </c>
      <c r="P56" s="125"/>
      <c r="Q56" s="155">
        <f t="shared" ref="Q56:T56" si="20">SUM(Q52:Q55)</f>
        <v>0</v>
      </c>
      <c r="R56" s="155">
        <f t="shared" si="20"/>
        <v>0</v>
      </c>
      <c r="S56" s="155">
        <f t="shared" si="20"/>
        <v>0</v>
      </c>
      <c r="T56" s="155">
        <f t="shared" si="20"/>
        <v>0</v>
      </c>
      <c r="U56" s="155">
        <f>SUM(Q56,R56,S56,T56)</f>
        <v>0</v>
      </c>
      <c r="V56" s="188"/>
      <c r="W56" s="125"/>
      <c r="X56" s="200" t="e">
        <f>(Q56+R56)/U56</f>
        <v>#DIV/0!</v>
      </c>
      <c r="Y56" s="200" t="e">
        <f>S56/U56</f>
        <v>#DIV/0!</v>
      </c>
      <c r="Z56" s="200" t="e">
        <f>T56/U56</f>
        <v>#DIV/0!</v>
      </c>
      <c r="AA56" s="125"/>
      <c r="AB56" s="6">
        <f>H56-U56</f>
        <v>0</v>
      </c>
    </row>
    <row r="57" spans="1:28" x14ac:dyDescent="0.2">
      <c r="A57" s="90"/>
      <c r="B57" s="72"/>
      <c r="C57" s="26"/>
      <c r="D57" s="26"/>
      <c r="E57" s="27"/>
      <c r="F57" s="27"/>
      <c r="G57" s="27"/>
      <c r="H57" s="27"/>
      <c r="I57" s="27"/>
      <c r="J57" s="125"/>
      <c r="K57" s="26"/>
      <c r="L57" s="26"/>
      <c r="M57" s="27"/>
      <c r="N57" s="27"/>
      <c r="O57" s="27"/>
      <c r="P57" s="125"/>
      <c r="Q57" s="10"/>
      <c r="R57" s="10"/>
      <c r="S57" s="10"/>
      <c r="T57" s="10"/>
      <c r="U57" s="31"/>
      <c r="V57" s="31"/>
      <c r="W57" s="125"/>
      <c r="X57" s="10"/>
      <c r="Y57" s="10"/>
      <c r="Z57" s="10"/>
      <c r="AA57" s="125"/>
      <c r="AB57" s="10"/>
    </row>
    <row r="58" spans="1:28" hidden="1" outlineLevel="1" x14ac:dyDescent="0.2">
      <c r="A58" s="88">
        <v>12</v>
      </c>
      <c r="B58" s="32" t="s">
        <v>126</v>
      </c>
      <c r="C58" s="189">
        <v>1116131</v>
      </c>
      <c r="D58" s="189">
        <v>0</v>
      </c>
      <c r="E58" s="189">
        <v>436966</v>
      </c>
      <c r="F58" s="189">
        <v>926226</v>
      </c>
      <c r="G58" s="189">
        <v>0</v>
      </c>
      <c r="H58" s="189">
        <f>SUM(C58:G58)</f>
        <v>2479323</v>
      </c>
      <c r="I58" s="184"/>
      <c r="J58" s="125"/>
      <c r="K58" s="200"/>
      <c r="L58" s="200"/>
      <c r="M58" s="200"/>
      <c r="N58" s="200"/>
      <c r="O58" s="200"/>
      <c r="P58" s="125"/>
      <c r="Q58" s="152">
        <v>1732234</v>
      </c>
      <c r="R58" s="152">
        <v>540621</v>
      </c>
      <c r="S58" s="152">
        <v>250832</v>
      </c>
      <c r="T58" s="152">
        <v>0</v>
      </c>
      <c r="U58" s="152">
        <f>SUM(Q58:T58)</f>
        <v>2523687</v>
      </c>
      <c r="V58" s="188"/>
      <c r="W58" s="125"/>
      <c r="X58" s="200"/>
      <c r="Y58" s="200"/>
      <c r="Z58" s="200"/>
      <c r="AA58" s="125"/>
      <c r="AB58" s="6">
        <f>H58-U58</f>
        <v>-44364</v>
      </c>
    </row>
    <row r="59" spans="1:28" ht="13.5" hidden="1" outlineLevel="1" thickBot="1" x14ac:dyDescent="0.25">
      <c r="A59" s="88">
        <v>12</v>
      </c>
      <c r="B59" s="32" t="s">
        <v>127</v>
      </c>
      <c r="C59" s="190">
        <v>0</v>
      </c>
      <c r="D59" s="190">
        <v>35488</v>
      </c>
      <c r="E59" s="190">
        <v>12225</v>
      </c>
      <c r="F59" s="190">
        <v>0</v>
      </c>
      <c r="G59" s="190">
        <v>0</v>
      </c>
      <c r="H59" s="190">
        <f>SUM(C59:G59)</f>
        <v>47713</v>
      </c>
      <c r="I59" s="184"/>
      <c r="J59" s="125"/>
      <c r="K59" s="201"/>
      <c r="L59" s="201"/>
      <c r="M59" s="201"/>
      <c r="N59" s="201"/>
      <c r="O59" s="201"/>
      <c r="P59" s="125"/>
      <c r="Q59" s="154">
        <v>0</v>
      </c>
      <c r="R59" s="154">
        <v>0</v>
      </c>
      <c r="S59" s="154">
        <v>0</v>
      </c>
      <c r="T59" s="154">
        <v>0</v>
      </c>
      <c r="U59" s="154">
        <f>SUM(Q59:T59)</f>
        <v>0</v>
      </c>
      <c r="V59" s="188"/>
      <c r="W59" s="125"/>
      <c r="X59" s="201"/>
      <c r="Y59" s="201"/>
      <c r="Z59" s="201"/>
      <c r="AA59" s="125"/>
      <c r="AB59" s="62">
        <f>H59-U59</f>
        <v>47713</v>
      </c>
    </row>
    <row r="60" spans="1:28" collapsed="1" x14ac:dyDescent="0.2">
      <c r="A60" s="40">
        <v>12</v>
      </c>
      <c r="B60" s="45" t="s">
        <v>4</v>
      </c>
      <c r="C60" s="191">
        <f t="shared" ref="C60:G60" si="21">SUM(C58:C59)</f>
        <v>1116131</v>
      </c>
      <c r="D60" s="191">
        <f t="shared" si="21"/>
        <v>35488</v>
      </c>
      <c r="E60" s="191">
        <f t="shared" si="21"/>
        <v>449191</v>
      </c>
      <c r="F60" s="191">
        <f t="shared" si="21"/>
        <v>926226</v>
      </c>
      <c r="G60" s="191">
        <f t="shared" si="21"/>
        <v>0</v>
      </c>
      <c r="H60" s="191">
        <f>SUM(C60,D60,E60,F60,G60)</f>
        <v>2527036</v>
      </c>
      <c r="I60" s="184"/>
      <c r="J60" s="125"/>
      <c r="K60" s="200">
        <f>C60/$H$60</f>
        <v>0.44167593971751884</v>
      </c>
      <c r="L60" s="200">
        <f>D60/$H$60</f>
        <v>1.4043329814058841E-2</v>
      </c>
      <c r="M60" s="200">
        <f>E60/$H$60</f>
        <v>0.17775409610310261</v>
      </c>
      <c r="N60" s="200">
        <f>F60/$H$60</f>
        <v>0.36652663436531968</v>
      </c>
      <c r="O60" s="200">
        <f>G60/$H$60</f>
        <v>0</v>
      </c>
      <c r="P60" s="125"/>
      <c r="Q60" s="155">
        <f t="shared" ref="Q60:T60" si="22">SUM(Q58:Q59)</f>
        <v>1732234</v>
      </c>
      <c r="R60" s="155">
        <f t="shared" si="22"/>
        <v>540621</v>
      </c>
      <c r="S60" s="155">
        <f t="shared" si="22"/>
        <v>250832</v>
      </c>
      <c r="T60" s="155">
        <f t="shared" si="22"/>
        <v>0</v>
      </c>
      <c r="U60" s="155">
        <f>SUM(Q60,R60,S60,T60)</f>
        <v>2523687</v>
      </c>
      <c r="V60" s="188"/>
      <c r="W60" s="125"/>
      <c r="X60" s="200">
        <f>(Q60+R60)/U60</f>
        <v>0.90060891069296634</v>
      </c>
      <c r="Y60" s="200">
        <f>S60/U60</f>
        <v>9.939108930703372E-2</v>
      </c>
      <c r="Z60" s="200">
        <f>T60/U60</f>
        <v>0</v>
      </c>
      <c r="AA60" s="125"/>
      <c r="AB60" s="6">
        <f>H60-U60</f>
        <v>3349</v>
      </c>
    </row>
    <row r="61" spans="1:28" x14ac:dyDescent="0.2">
      <c r="A61" s="90"/>
      <c r="B61" s="72"/>
      <c r="C61" s="26"/>
      <c r="D61" s="26"/>
      <c r="E61" s="27"/>
      <c r="F61" s="27"/>
      <c r="G61" s="27"/>
      <c r="H61" s="27"/>
      <c r="I61" s="27"/>
      <c r="J61" s="125"/>
      <c r="K61" s="26"/>
      <c r="L61" s="26"/>
      <c r="M61" s="27"/>
      <c r="N61" s="27"/>
      <c r="O61" s="27"/>
      <c r="P61" s="125"/>
      <c r="Q61" s="10"/>
      <c r="R61" s="10"/>
      <c r="S61" s="10"/>
      <c r="T61" s="10"/>
      <c r="U61" s="31"/>
      <c r="V61" s="31"/>
      <c r="W61" s="125"/>
      <c r="X61" s="10"/>
      <c r="Y61" s="10"/>
      <c r="Z61" s="10"/>
      <c r="AA61" s="125"/>
      <c r="AB61" s="10"/>
    </row>
    <row r="62" spans="1:28" ht="51" hidden="1" outlineLevel="1" x14ac:dyDescent="0.2">
      <c r="A62" s="88">
        <v>13</v>
      </c>
      <c r="B62" s="32" t="s">
        <v>128</v>
      </c>
      <c r="C62" s="189">
        <v>6753105.5800000001</v>
      </c>
      <c r="D62" s="189">
        <v>0</v>
      </c>
      <c r="E62" s="189">
        <v>1569152.66</v>
      </c>
      <c r="F62" s="189">
        <v>1807740.28</v>
      </c>
      <c r="G62" s="189">
        <v>119640</v>
      </c>
      <c r="H62" s="189">
        <f>SUM(C62:G62)</f>
        <v>10249638.52</v>
      </c>
      <c r="I62" s="184" t="s">
        <v>129</v>
      </c>
      <c r="J62" s="125"/>
      <c r="K62" s="200"/>
      <c r="L62" s="200"/>
      <c r="M62" s="200"/>
      <c r="N62" s="200"/>
      <c r="O62" s="200"/>
      <c r="P62" s="125"/>
      <c r="Q62" s="156">
        <v>8860163.2699999996</v>
      </c>
      <c r="R62" s="157"/>
      <c r="S62" s="152">
        <v>877674.63</v>
      </c>
      <c r="T62" s="152">
        <v>0</v>
      </c>
      <c r="U62" s="152">
        <f>SUM(Q62:T62)</f>
        <v>9737837.9000000004</v>
      </c>
      <c r="V62" s="188" t="s">
        <v>75</v>
      </c>
      <c r="W62" s="125"/>
      <c r="X62" s="204"/>
      <c r="Y62" s="200"/>
      <c r="Z62" s="200"/>
      <c r="AA62" s="125"/>
      <c r="AB62" s="6">
        <f>H62-U62</f>
        <v>511800.61999999918</v>
      </c>
    </row>
    <row r="63" spans="1:28" ht="13.5" hidden="1" outlineLevel="1" thickBot="1" x14ac:dyDescent="0.25">
      <c r="A63" s="88">
        <v>13</v>
      </c>
      <c r="B63" s="32" t="s">
        <v>130</v>
      </c>
      <c r="C63" s="190">
        <v>953611</v>
      </c>
      <c r="D63" s="190">
        <v>0</v>
      </c>
      <c r="E63" s="190">
        <v>379058.83</v>
      </c>
      <c r="F63" s="190">
        <v>0</v>
      </c>
      <c r="G63" s="190">
        <v>0</v>
      </c>
      <c r="H63" s="190">
        <f>SUM(C63:G63)</f>
        <v>1332669.83</v>
      </c>
      <c r="I63" s="184"/>
      <c r="J63" s="125"/>
      <c r="K63" s="201"/>
      <c r="L63" s="201"/>
      <c r="M63" s="201"/>
      <c r="N63" s="201"/>
      <c r="O63" s="201"/>
      <c r="P63" s="125"/>
      <c r="Q63" s="158">
        <v>1319111.33</v>
      </c>
      <c r="R63" s="159"/>
      <c r="S63" s="154">
        <v>80268.639999999999</v>
      </c>
      <c r="T63" s="154">
        <v>0</v>
      </c>
      <c r="U63" s="154">
        <f>SUM(Q63:T63)</f>
        <v>1399379.97</v>
      </c>
      <c r="V63" s="188"/>
      <c r="W63" s="125"/>
      <c r="X63" s="205"/>
      <c r="Y63" s="201"/>
      <c r="Z63" s="201"/>
      <c r="AA63" s="125"/>
      <c r="AB63" s="62">
        <f>H63-U63</f>
        <v>-66710.139999999898</v>
      </c>
    </row>
    <row r="64" spans="1:28" collapsed="1" x14ac:dyDescent="0.2">
      <c r="A64" s="40">
        <v>13</v>
      </c>
      <c r="B64" s="45" t="s">
        <v>4</v>
      </c>
      <c r="C64" s="191">
        <f t="shared" ref="C64:G64" si="23">SUM(C62:C63)</f>
        <v>7706716.5800000001</v>
      </c>
      <c r="D64" s="191">
        <f t="shared" si="23"/>
        <v>0</v>
      </c>
      <c r="E64" s="191">
        <f t="shared" si="23"/>
        <v>1948211.49</v>
      </c>
      <c r="F64" s="191">
        <f t="shared" si="23"/>
        <v>1807740.28</v>
      </c>
      <c r="G64" s="191">
        <f t="shared" si="23"/>
        <v>119640</v>
      </c>
      <c r="H64" s="191">
        <f>SUM(C64,D64,E64,F64,G64)</f>
        <v>11582308.35</v>
      </c>
      <c r="I64" s="184"/>
      <c r="J64" s="125"/>
      <c r="K64" s="200">
        <f>C64/$H$64</f>
        <v>0.66538692867730465</v>
      </c>
      <c r="L64" s="200">
        <f>D64/$H$64</f>
        <v>0</v>
      </c>
      <c r="M64" s="200">
        <f>E64/$H$64</f>
        <v>0.16820580415647457</v>
      </c>
      <c r="N64" s="200">
        <f>F64/$H$64</f>
        <v>0.15607772003410703</v>
      </c>
      <c r="O64" s="200">
        <f>G64/$H$64</f>
        <v>1.0329547132113781E-2</v>
      </c>
      <c r="P64" s="125"/>
      <c r="Q64" s="155">
        <f t="shared" ref="Q64:T64" si="24">SUM(Q62:Q63)</f>
        <v>10179274.6</v>
      </c>
      <c r="R64" s="155">
        <f t="shared" si="24"/>
        <v>0</v>
      </c>
      <c r="S64" s="155">
        <f t="shared" si="24"/>
        <v>957943.27</v>
      </c>
      <c r="T64" s="155">
        <f t="shared" si="24"/>
        <v>0</v>
      </c>
      <c r="U64" s="155">
        <f>SUM(Q64,R64,S64,T64)</f>
        <v>11137217.869999999</v>
      </c>
      <c r="V64" s="188"/>
      <c r="W64" s="125"/>
      <c r="X64" s="200">
        <f>(Q64+R64)/U64</f>
        <v>0.91398720208388995</v>
      </c>
      <c r="Y64" s="200">
        <f>S64/U64</f>
        <v>8.6012797916110093E-2</v>
      </c>
      <c r="Z64" s="200">
        <f>T64/U64</f>
        <v>0</v>
      </c>
      <c r="AA64" s="125"/>
      <c r="AB64" s="6">
        <f>H64-U64</f>
        <v>445090.48000000045</v>
      </c>
    </row>
    <row r="65" spans="1:28" x14ac:dyDescent="0.2">
      <c r="A65" s="88"/>
      <c r="B65" s="72"/>
      <c r="C65" s="26"/>
      <c r="D65" s="26"/>
      <c r="E65" s="27"/>
      <c r="F65" s="27"/>
      <c r="G65" s="27"/>
      <c r="H65" s="27"/>
      <c r="I65" s="27"/>
      <c r="J65" s="125"/>
      <c r="K65" s="26"/>
      <c r="L65" s="26"/>
      <c r="M65" s="27"/>
      <c r="N65" s="27"/>
      <c r="O65" s="27"/>
      <c r="P65" s="125"/>
      <c r="Q65" s="10"/>
      <c r="R65" s="10"/>
      <c r="S65" s="10"/>
      <c r="T65" s="10"/>
      <c r="U65" s="31"/>
      <c r="V65" s="31"/>
      <c r="W65" s="125"/>
      <c r="X65" s="10"/>
      <c r="Y65" s="10"/>
      <c r="Z65" s="10"/>
      <c r="AA65" s="125"/>
      <c r="AB65" s="10"/>
    </row>
    <row r="66" spans="1:28" ht="63.75" hidden="1" outlineLevel="1" x14ac:dyDescent="0.2">
      <c r="A66" s="88">
        <v>14</v>
      </c>
      <c r="B66" s="32" t="s">
        <v>131</v>
      </c>
      <c r="C66" s="189">
        <v>20000</v>
      </c>
      <c r="D66" s="189">
        <v>0</v>
      </c>
      <c r="E66" s="189">
        <v>2265</v>
      </c>
      <c r="F66" s="189">
        <v>0</v>
      </c>
      <c r="G66" s="189">
        <v>0</v>
      </c>
      <c r="H66" s="189">
        <f>SUM(C66:G66)</f>
        <v>22265</v>
      </c>
      <c r="I66" s="184"/>
      <c r="J66" s="125"/>
      <c r="K66" s="200"/>
      <c r="L66" s="200"/>
      <c r="M66" s="200"/>
      <c r="N66" s="200"/>
      <c r="O66" s="200"/>
      <c r="P66" s="125"/>
      <c r="Q66" s="152">
        <v>110267.19</v>
      </c>
      <c r="R66" s="152">
        <v>29878.720000000001</v>
      </c>
      <c r="S66" s="152">
        <v>2194.9</v>
      </c>
      <c r="T66" s="152">
        <v>0</v>
      </c>
      <c r="U66" s="152">
        <f>SUM(Q66:T66)</f>
        <v>142340.81</v>
      </c>
      <c r="V66" s="188" t="s">
        <v>76</v>
      </c>
      <c r="W66" s="125"/>
      <c r="X66" s="200"/>
      <c r="Y66" s="200"/>
      <c r="Z66" s="200"/>
      <c r="AA66" s="125"/>
      <c r="AB66" s="6">
        <f t="shared" ref="AB66:AB71" si="25">H66-U66</f>
        <v>-120075.81</v>
      </c>
    </row>
    <row r="67" spans="1:28" hidden="1" outlineLevel="1" x14ac:dyDescent="0.2">
      <c r="A67" s="88">
        <v>14</v>
      </c>
      <c r="B67" s="32" t="s">
        <v>132</v>
      </c>
      <c r="C67" s="189">
        <v>1245000</v>
      </c>
      <c r="D67" s="189">
        <v>98500</v>
      </c>
      <c r="E67" s="189">
        <v>280084.31</v>
      </c>
      <c r="F67" s="189">
        <v>1049235.3799999999</v>
      </c>
      <c r="G67" s="189">
        <v>213978.27</v>
      </c>
      <c r="H67" s="189">
        <f>SUM(C67:G67)</f>
        <v>2886797.96</v>
      </c>
      <c r="I67" s="184"/>
      <c r="J67" s="125"/>
      <c r="K67" s="200"/>
      <c r="L67" s="200"/>
      <c r="M67" s="200"/>
      <c r="N67" s="200"/>
      <c r="O67" s="200"/>
      <c r="P67" s="125"/>
      <c r="Q67" s="152">
        <v>1330198.93</v>
      </c>
      <c r="R67" s="152">
        <v>494327.9</v>
      </c>
      <c r="S67" s="152">
        <v>596834.68000000005</v>
      </c>
      <c r="T67" s="152">
        <v>340980.69</v>
      </c>
      <c r="U67" s="152">
        <f>SUM(Q67:T67)</f>
        <v>2762342.2</v>
      </c>
      <c r="V67" s="188"/>
      <c r="W67" s="125"/>
      <c r="X67" s="200"/>
      <c r="Y67" s="200"/>
      <c r="Z67" s="200"/>
      <c r="AA67" s="125"/>
      <c r="AB67" s="6">
        <f t="shared" si="25"/>
        <v>124455.75999999978</v>
      </c>
    </row>
    <row r="68" spans="1:28" hidden="1" outlineLevel="1" x14ac:dyDescent="0.2">
      <c r="A68" s="88">
        <v>14</v>
      </c>
      <c r="B68" s="32" t="s">
        <v>133</v>
      </c>
      <c r="C68" s="189">
        <v>229512</v>
      </c>
      <c r="D68" s="189">
        <v>0</v>
      </c>
      <c r="E68" s="189">
        <v>49302.67</v>
      </c>
      <c r="F68" s="189">
        <v>0</v>
      </c>
      <c r="G68" s="189">
        <v>0</v>
      </c>
      <c r="H68" s="189">
        <f>SUM(C68:G68)</f>
        <v>278814.67</v>
      </c>
      <c r="I68" s="184"/>
      <c r="J68" s="125"/>
      <c r="K68" s="200"/>
      <c r="L68" s="200"/>
      <c r="M68" s="200"/>
      <c r="N68" s="200"/>
      <c r="O68" s="200"/>
      <c r="P68" s="125"/>
      <c r="Q68" s="152">
        <v>239319.47</v>
      </c>
      <c r="R68" s="152">
        <v>68281.58</v>
      </c>
      <c r="S68" s="152">
        <v>6040.91</v>
      </c>
      <c r="T68" s="152">
        <v>0</v>
      </c>
      <c r="U68" s="152">
        <f>SUM(Q68:T68)</f>
        <v>313641.95999999996</v>
      </c>
      <c r="V68" s="188"/>
      <c r="W68" s="125"/>
      <c r="X68" s="200"/>
      <c r="Y68" s="200"/>
      <c r="Z68" s="200"/>
      <c r="AA68" s="125"/>
      <c r="AB68" s="6">
        <f t="shared" si="25"/>
        <v>-34827.289999999979</v>
      </c>
    </row>
    <row r="69" spans="1:28" hidden="1" outlineLevel="1" x14ac:dyDescent="0.2">
      <c r="A69" s="88">
        <v>14</v>
      </c>
      <c r="B69" s="32" t="s">
        <v>134</v>
      </c>
      <c r="C69" s="189">
        <v>87540</v>
      </c>
      <c r="D69" s="189">
        <v>0</v>
      </c>
      <c r="E69" s="189">
        <v>29540</v>
      </c>
      <c r="F69" s="189">
        <v>0</v>
      </c>
      <c r="G69" s="189">
        <v>0</v>
      </c>
      <c r="H69" s="189">
        <f>SUM(C69:G69)</f>
        <v>117080</v>
      </c>
      <c r="I69" s="184"/>
      <c r="J69" s="125"/>
      <c r="K69" s="200"/>
      <c r="L69" s="200"/>
      <c r="M69" s="200"/>
      <c r="N69" s="200"/>
      <c r="O69" s="200"/>
      <c r="P69" s="125"/>
      <c r="Q69" s="152">
        <v>145319.66</v>
      </c>
      <c r="R69" s="152">
        <v>44007.89</v>
      </c>
      <c r="S69" s="152">
        <v>5454.37</v>
      </c>
      <c r="T69" s="152">
        <v>0</v>
      </c>
      <c r="U69" s="152">
        <f>SUM(Q69:T69)</f>
        <v>194781.91999999998</v>
      </c>
      <c r="V69" s="188"/>
      <c r="W69" s="125"/>
      <c r="X69" s="200"/>
      <c r="Y69" s="200"/>
      <c r="Z69" s="200"/>
      <c r="AA69" s="125"/>
      <c r="AB69" s="6">
        <f t="shared" si="25"/>
        <v>-77701.919999999984</v>
      </c>
    </row>
    <row r="70" spans="1:28" ht="13.5" hidden="1" outlineLevel="1" thickBot="1" x14ac:dyDescent="0.25">
      <c r="A70" s="88">
        <v>14</v>
      </c>
      <c r="B70" s="32" t="s">
        <v>135</v>
      </c>
      <c r="C70" s="190">
        <v>199950</v>
      </c>
      <c r="D70" s="190">
        <v>37500</v>
      </c>
      <c r="E70" s="190">
        <v>41395</v>
      </c>
      <c r="F70" s="190">
        <v>0</v>
      </c>
      <c r="G70" s="190">
        <v>0</v>
      </c>
      <c r="H70" s="190">
        <f>SUM(C70:G70)</f>
        <v>278845</v>
      </c>
      <c r="I70" s="184"/>
      <c r="J70" s="125"/>
      <c r="K70" s="201"/>
      <c r="L70" s="201"/>
      <c r="M70" s="201"/>
      <c r="N70" s="201"/>
      <c r="O70" s="201"/>
      <c r="P70" s="125"/>
      <c r="Q70" s="154">
        <v>284244.49</v>
      </c>
      <c r="R70" s="154">
        <v>109849.9</v>
      </c>
      <c r="S70" s="154">
        <v>6907.27</v>
      </c>
      <c r="T70" s="154">
        <v>0</v>
      </c>
      <c r="U70" s="154">
        <f>SUM(Q70:T70)</f>
        <v>401001.66000000003</v>
      </c>
      <c r="V70" s="188"/>
      <c r="W70" s="125"/>
      <c r="X70" s="201"/>
      <c r="Y70" s="201"/>
      <c r="Z70" s="201"/>
      <c r="AA70" s="125"/>
      <c r="AB70" s="62">
        <f t="shared" si="25"/>
        <v>-122156.66000000003</v>
      </c>
    </row>
    <row r="71" spans="1:28" collapsed="1" x14ac:dyDescent="0.2">
      <c r="A71" s="40">
        <v>14</v>
      </c>
      <c r="B71" s="45" t="s">
        <v>4</v>
      </c>
      <c r="C71" s="191">
        <f t="shared" ref="C71:G71" si="26">SUM(C66:C70)</f>
        <v>1782002</v>
      </c>
      <c r="D71" s="191">
        <f t="shared" si="26"/>
        <v>136000</v>
      </c>
      <c r="E71" s="191">
        <f t="shared" si="26"/>
        <v>402586.98</v>
      </c>
      <c r="F71" s="191">
        <f t="shared" si="26"/>
        <v>1049235.3799999999</v>
      </c>
      <c r="G71" s="191">
        <f t="shared" si="26"/>
        <v>213978.27</v>
      </c>
      <c r="H71" s="191">
        <f>SUM(C71,D71,E71,F71,G71)</f>
        <v>3583802.63</v>
      </c>
      <c r="I71" s="184"/>
      <c r="J71" s="125"/>
      <c r="K71" s="200">
        <f>C71/$H$71</f>
        <v>0.49723776222576188</v>
      </c>
      <c r="L71" s="200">
        <f>D71/$H$71</f>
        <v>3.7948518387018432E-2</v>
      </c>
      <c r="M71" s="200">
        <f>E71/$H$71</f>
        <v>0.1123351427419428</v>
      </c>
      <c r="N71" s="200">
        <f>F71/$H$71</f>
        <v>0.29277153022235486</v>
      </c>
      <c r="O71" s="200">
        <f>G71/$H$71</f>
        <v>5.970704642292201E-2</v>
      </c>
      <c r="P71" s="125"/>
      <c r="Q71" s="155">
        <f t="shared" ref="Q71:T71" si="27">SUM(Q66:Q70)</f>
        <v>2109349.7399999998</v>
      </c>
      <c r="R71" s="155">
        <f t="shared" si="27"/>
        <v>746345.99</v>
      </c>
      <c r="S71" s="155">
        <f t="shared" si="27"/>
        <v>617432.13000000012</v>
      </c>
      <c r="T71" s="155">
        <f t="shared" si="27"/>
        <v>340980.69</v>
      </c>
      <c r="U71" s="155">
        <f>SUM(Q71,R71,S71,T71)</f>
        <v>3814108.5499999993</v>
      </c>
      <c r="V71" s="188"/>
      <c r="W71" s="125"/>
      <c r="X71" s="200">
        <f>(Q71+R71)/U71</f>
        <v>0.74871904995991789</v>
      </c>
      <c r="Y71" s="200">
        <f>S71/U71</f>
        <v>0.16188111111835038</v>
      </c>
      <c r="Z71" s="200">
        <f>T71/U71</f>
        <v>8.9399838921731811E-2</v>
      </c>
      <c r="AA71" s="125"/>
      <c r="AB71" s="6">
        <f t="shared" si="25"/>
        <v>-230305.91999999946</v>
      </c>
    </row>
    <row r="72" spans="1:28" x14ac:dyDescent="0.2">
      <c r="A72" s="88"/>
      <c r="B72" s="72"/>
      <c r="C72" s="26"/>
      <c r="D72" s="26"/>
      <c r="E72" s="27"/>
      <c r="F72" s="27"/>
      <c r="G72" s="27"/>
      <c r="H72" s="27"/>
      <c r="I72" s="27"/>
      <c r="J72" s="125"/>
      <c r="K72" s="26"/>
      <c r="L72" s="26"/>
      <c r="M72" s="27"/>
      <c r="N72" s="27"/>
      <c r="O72" s="27"/>
      <c r="P72" s="125"/>
      <c r="Q72" s="10"/>
      <c r="R72" s="10"/>
      <c r="S72" s="10"/>
      <c r="T72" s="10"/>
      <c r="U72" s="31"/>
      <c r="V72" s="31"/>
      <c r="W72" s="125"/>
      <c r="X72" s="10"/>
      <c r="Y72" s="10"/>
      <c r="Z72" s="10"/>
      <c r="AA72" s="125"/>
      <c r="AB72" s="10"/>
    </row>
    <row r="73" spans="1:28" hidden="1" outlineLevel="1" x14ac:dyDescent="0.2">
      <c r="A73" s="88">
        <v>15</v>
      </c>
      <c r="B73" s="32" t="s">
        <v>136</v>
      </c>
      <c r="C73" s="189">
        <v>1047618</v>
      </c>
      <c r="D73" s="189">
        <v>0</v>
      </c>
      <c r="E73" s="189">
        <v>99249.5</v>
      </c>
      <c r="F73" s="189">
        <v>0</v>
      </c>
      <c r="G73" s="189">
        <v>0</v>
      </c>
      <c r="H73" s="189">
        <f>SUM(C73:G73)</f>
        <v>1146867.5</v>
      </c>
      <c r="I73" s="184"/>
      <c r="J73" s="125"/>
      <c r="K73" s="200"/>
      <c r="L73" s="200"/>
      <c r="M73" s="200"/>
      <c r="N73" s="200"/>
      <c r="O73" s="200"/>
      <c r="P73" s="125"/>
      <c r="Q73" s="152">
        <v>708079.84</v>
      </c>
      <c r="R73" s="152">
        <v>250795.91</v>
      </c>
      <c r="S73" s="152">
        <v>88742.25</v>
      </c>
      <c r="T73" s="152">
        <v>0</v>
      </c>
      <c r="U73" s="152">
        <f>SUM(Q73:T73)</f>
        <v>1047618</v>
      </c>
      <c r="V73" s="188"/>
      <c r="W73" s="125"/>
      <c r="X73" s="200"/>
      <c r="Y73" s="200"/>
      <c r="Z73" s="200"/>
      <c r="AA73" s="125"/>
      <c r="AB73" s="6">
        <f>H73-U73</f>
        <v>99249.5</v>
      </c>
    </row>
    <row r="74" spans="1:28" ht="13.5" hidden="1" outlineLevel="1" thickBot="1" x14ac:dyDescent="0.25">
      <c r="A74" s="88">
        <v>15</v>
      </c>
      <c r="B74" s="32" t="s">
        <v>137</v>
      </c>
      <c r="C74" s="190">
        <v>3874909</v>
      </c>
      <c r="D74" s="190"/>
      <c r="E74" s="190">
        <v>1683502.79</v>
      </c>
      <c r="F74" s="190">
        <v>969162.11</v>
      </c>
      <c r="G74" s="190">
        <v>423362</v>
      </c>
      <c r="H74" s="190">
        <f>SUM(C74:G74)</f>
        <v>6950935.9000000004</v>
      </c>
      <c r="I74" s="184"/>
      <c r="J74" s="125"/>
      <c r="K74" s="201"/>
      <c r="L74" s="201"/>
      <c r="M74" s="201"/>
      <c r="N74" s="201"/>
      <c r="O74" s="201"/>
      <c r="P74" s="125"/>
      <c r="Q74" s="154">
        <v>2519160.75</v>
      </c>
      <c r="R74" s="154">
        <v>877932.27</v>
      </c>
      <c r="S74" s="154">
        <v>477815.98</v>
      </c>
      <c r="T74" s="154">
        <v>0</v>
      </c>
      <c r="U74" s="154">
        <f>SUM(Q74:T74)</f>
        <v>3874909</v>
      </c>
      <c r="V74" s="188"/>
      <c r="W74" s="125"/>
      <c r="X74" s="201"/>
      <c r="Y74" s="201"/>
      <c r="Z74" s="201"/>
      <c r="AA74" s="125"/>
      <c r="AB74" s="62">
        <f>H74-U74</f>
        <v>3076026.9000000004</v>
      </c>
    </row>
    <row r="75" spans="1:28" collapsed="1" x14ac:dyDescent="0.2">
      <c r="A75" s="40">
        <v>15</v>
      </c>
      <c r="B75" s="45" t="s">
        <v>4</v>
      </c>
      <c r="C75" s="191">
        <f t="shared" ref="C75:G75" si="28">SUM(C73:C74)</f>
        <v>4922527</v>
      </c>
      <c r="D75" s="191">
        <f t="shared" si="28"/>
        <v>0</v>
      </c>
      <c r="E75" s="191">
        <f t="shared" si="28"/>
        <v>1782752.29</v>
      </c>
      <c r="F75" s="191">
        <f t="shared" si="28"/>
        <v>969162.11</v>
      </c>
      <c r="G75" s="191">
        <f t="shared" si="28"/>
        <v>423362</v>
      </c>
      <c r="H75" s="191">
        <f>SUM(C75,D75,E75,F75,G75)</f>
        <v>8097803.4000000004</v>
      </c>
      <c r="I75" s="184"/>
      <c r="J75" s="125"/>
      <c r="K75" s="200">
        <f>C75/$H$75</f>
        <v>0.60788423191405216</v>
      </c>
      <c r="L75" s="200">
        <f>D75/$H$75</f>
        <v>0</v>
      </c>
      <c r="M75" s="200">
        <f>E75/$H$75</f>
        <v>0.22015257742612027</v>
      </c>
      <c r="N75" s="200">
        <f>F75/$H$75</f>
        <v>0.11968209922211744</v>
      </c>
      <c r="O75" s="200">
        <f>G75/$H$75</f>
        <v>5.2281091437710127E-2</v>
      </c>
      <c r="P75" s="125"/>
      <c r="Q75" s="155">
        <f t="shared" ref="Q75:T75" si="29">SUM(Q73:Q74)</f>
        <v>3227240.59</v>
      </c>
      <c r="R75" s="155">
        <f t="shared" si="29"/>
        <v>1128728.18</v>
      </c>
      <c r="S75" s="155">
        <f t="shared" si="29"/>
        <v>566558.23</v>
      </c>
      <c r="T75" s="155">
        <f t="shared" si="29"/>
        <v>0</v>
      </c>
      <c r="U75" s="155">
        <f>SUM(Q75,R75,S75,T75)</f>
        <v>4922527</v>
      </c>
      <c r="V75" s="188"/>
      <c r="W75" s="125"/>
      <c r="X75" s="200">
        <f>(Q75+R75)/U75</f>
        <v>0.88490500306041986</v>
      </c>
      <c r="Y75" s="200">
        <f>S75/U75</f>
        <v>0.11509499693958002</v>
      </c>
      <c r="Z75" s="200">
        <f>T75/U75</f>
        <v>0</v>
      </c>
      <c r="AA75" s="125"/>
      <c r="AB75" s="6">
        <f>H75-U75</f>
        <v>3175276.4000000004</v>
      </c>
    </row>
    <row r="76" spans="1:28" x14ac:dyDescent="0.2">
      <c r="A76" s="88"/>
      <c r="B76" s="72"/>
      <c r="C76" s="26"/>
      <c r="D76" s="26"/>
      <c r="E76" s="27"/>
      <c r="F76" s="27"/>
      <c r="G76" s="27"/>
      <c r="H76" s="27"/>
      <c r="I76" s="27"/>
      <c r="J76" s="125"/>
      <c r="K76" s="26"/>
      <c r="L76" s="26"/>
      <c r="M76" s="27"/>
      <c r="N76" s="27"/>
      <c r="O76" s="27"/>
      <c r="P76" s="125"/>
      <c r="Q76" s="10"/>
      <c r="R76" s="10"/>
      <c r="S76" s="10"/>
      <c r="T76" s="10"/>
      <c r="U76" s="31"/>
      <c r="V76" s="31"/>
      <c r="W76" s="125"/>
      <c r="X76" s="10"/>
      <c r="Y76" s="10"/>
      <c r="Z76" s="10"/>
      <c r="AA76" s="125"/>
      <c r="AB76" s="10"/>
    </row>
    <row r="77" spans="1:28" hidden="1" outlineLevel="1" x14ac:dyDescent="0.2">
      <c r="A77" s="88">
        <v>16</v>
      </c>
      <c r="B77" s="32" t="s">
        <v>138</v>
      </c>
      <c r="C77" s="189">
        <v>234163</v>
      </c>
      <c r="D77" s="189"/>
      <c r="E77" s="189">
        <v>23245</v>
      </c>
      <c r="F77" s="189"/>
      <c r="G77" s="189">
        <v>0</v>
      </c>
      <c r="H77" s="189">
        <f>SUM(C77:G77)</f>
        <v>257408</v>
      </c>
      <c r="I77" s="184"/>
      <c r="J77" s="125"/>
      <c r="K77" s="200"/>
      <c r="L77" s="200"/>
      <c r="M77" s="200"/>
      <c r="N77" s="200"/>
      <c r="O77" s="200"/>
      <c r="P77" s="125"/>
      <c r="Q77" s="152">
        <v>256043</v>
      </c>
      <c r="R77" s="152">
        <v>71114</v>
      </c>
      <c r="S77" s="152">
        <v>5400</v>
      </c>
      <c r="T77" s="152">
        <v>0</v>
      </c>
      <c r="U77" s="152">
        <f>SUM(Q77:T77)</f>
        <v>332557</v>
      </c>
      <c r="V77" s="188"/>
      <c r="W77" s="125"/>
      <c r="X77" s="200"/>
      <c r="Y77" s="200"/>
      <c r="Z77" s="200"/>
      <c r="AA77" s="125"/>
      <c r="AB77" s="6">
        <f>H77-U77</f>
        <v>-75149</v>
      </c>
    </row>
    <row r="78" spans="1:28" ht="13.5" hidden="1" outlineLevel="1" thickBot="1" x14ac:dyDescent="0.25">
      <c r="A78" s="88">
        <v>16</v>
      </c>
      <c r="B78" s="32" t="s">
        <v>139</v>
      </c>
      <c r="C78" s="190">
        <v>4343011</v>
      </c>
      <c r="D78" s="190">
        <v>20000</v>
      </c>
      <c r="E78" s="190">
        <v>523970</v>
      </c>
      <c r="F78" s="190">
        <v>1017034</v>
      </c>
      <c r="G78" s="190">
        <v>0</v>
      </c>
      <c r="H78" s="190">
        <f>SUM(C78:G78)</f>
        <v>5904015</v>
      </c>
      <c r="I78" s="184"/>
      <c r="J78" s="125"/>
      <c r="K78" s="201"/>
      <c r="L78" s="201"/>
      <c r="M78" s="201"/>
      <c r="N78" s="201"/>
      <c r="O78" s="201"/>
      <c r="P78" s="125"/>
      <c r="Q78" s="154">
        <v>3738467</v>
      </c>
      <c r="R78" s="154">
        <v>1006865</v>
      </c>
      <c r="S78" s="154">
        <v>950764</v>
      </c>
      <c r="T78" s="154">
        <v>0</v>
      </c>
      <c r="U78" s="154">
        <f>SUM(Q78:T78)</f>
        <v>5696096</v>
      </c>
      <c r="V78" s="188"/>
      <c r="W78" s="125"/>
      <c r="X78" s="201"/>
      <c r="Y78" s="201"/>
      <c r="Z78" s="201"/>
      <c r="AA78" s="125"/>
      <c r="AB78" s="62">
        <f>H78-U78</f>
        <v>207919</v>
      </c>
    </row>
    <row r="79" spans="1:28" collapsed="1" x14ac:dyDescent="0.2">
      <c r="A79" s="40">
        <v>16</v>
      </c>
      <c r="B79" s="45" t="s">
        <v>4</v>
      </c>
      <c r="C79" s="191">
        <f t="shared" ref="C79:G79" si="30">SUM(C77:C78)</f>
        <v>4577174</v>
      </c>
      <c r="D79" s="191">
        <f t="shared" si="30"/>
        <v>20000</v>
      </c>
      <c r="E79" s="191">
        <f t="shared" si="30"/>
        <v>547215</v>
      </c>
      <c r="F79" s="191">
        <f t="shared" si="30"/>
        <v>1017034</v>
      </c>
      <c r="G79" s="191">
        <f t="shared" si="30"/>
        <v>0</v>
      </c>
      <c r="H79" s="191">
        <f>SUM(C79,D79,E79,F79,G79)</f>
        <v>6161423</v>
      </c>
      <c r="I79" s="184"/>
      <c r="J79" s="125"/>
      <c r="K79" s="200">
        <f>C79/$H$79</f>
        <v>0.74287611806558318</v>
      </c>
      <c r="L79" s="200">
        <f>D79/$H$79</f>
        <v>3.2460033988901591E-3</v>
      </c>
      <c r="M79" s="200">
        <f>E79/$H$79</f>
        <v>8.8813087496183912E-2</v>
      </c>
      <c r="N79" s="200">
        <f>F79/$H$79</f>
        <v>0.16506479103934268</v>
      </c>
      <c r="O79" s="200">
        <f>G79/$H$79</f>
        <v>0</v>
      </c>
      <c r="P79" s="125"/>
      <c r="Q79" s="155">
        <f t="shared" ref="Q79:T79" si="31">SUM(Q77:Q78)</f>
        <v>3994510</v>
      </c>
      <c r="R79" s="155">
        <f t="shared" si="31"/>
        <v>1077979</v>
      </c>
      <c r="S79" s="155">
        <f t="shared" si="31"/>
        <v>956164</v>
      </c>
      <c r="T79" s="155">
        <f t="shared" si="31"/>
        <v>0</v>
      </c>
      <c r="U79" s="155">
        <f>SUM(Q79,R79,S79,T79)</f>
        <v>6028653</v>
      </c>
      <c r="V79" s="188"/>
      <c r="W79" s="125"/>
      <c r="X79" s="200">
        <f>(Q79+R79)/U79</f>
        <v>0.84139674318624735</v>
      </c>
      <c r="Y79" s="200">
        <f>S79/U79</f>
        <v>0.15860325681375259</v>
      </c>
      <c r="Z79" s="200">
        <f>T79/U79</f>
        <v>0</v>
      </c>
      <c r="AA79" s="125"/>
      <c r="AB79" s="6">
        <f>H79-U79</f>
        <v>132770</v>
      </c>
    </row>
    <row r="80" spans="1:28" x14ac:dyDescent="0.2">
      <c r="A80" s="40"/>
      <c r="B80" s="95"/>
      <c r="C80" s="26"/>
      <c r="D80" s="26"/>
      <c r="E80" s="27"/>
      <c r="F80" s="27"/>
      <c r="G80" s="27"/>
      <c r="H80" s="27"/>
      <c r="I80" s="27"/>
      <c r="J80" s="125"/>
      <c r="K80" s="26"/>
      <c r="L80" s="26"/>
      <c r="M80" s="27"/>
      <c r="N80" s="27"/>
      <c r="O80" s="27"/>
      <c r="P80" s="125"/>
      <c r="Q80" s="30"/>
      <c r="R80" s="10"/>
      <c r="S80" s="10"/>
      <c r="T80" s="10"/>
      <c r="U80" s="31"/>
      <c r="V80" s="31"/>
      <c r="W80" s="125"/>
      <c r="X80" s="10"/>
      <c r="Y80" s="10"/>
      <c r="Z80" s="10"/>
      <c r="AA80" s="125"/>
      <c r="AB80" s="10"/>
    </row>
    <row r="81" spans="1:28" x14ac:dyDescent="0.2">
      <c r="A81" s="88"/>
      <c r="B81" s="32"/>
      <c r="C81" s="192"/>
      <c r="D81" s="189"/>
      <c r="E81" s="192"/>
      <c r="F81" s="192"/>
      <c r="G81" s="192"/>
      <c r="H81" s="192"/>
      <c r="I81" s="184"/>
      <c r="J81" s="125"/>
      <c r="K81" s="207"/>
      <c r="L81" s="200"/>
      <c r="M81" s="207"/>
      <c r="N81" s="207"/>
      <c r="O81" s="207"/>
      <c r="P81" s="125"/>
      <c r="Q81" s="160"/>
      <c r="R81" s="152"/>
      <c r="S81" s="160"/>
      <c r="T81" s="160"/>
      <c r="U81" s="160"/>
      <c r="V81" s="188"/>
      <c r="W81" s="125"/>
      <c r="X81" s="200"/>
      <c r="Y81" s="207"/>
      <c r="Z81" s="207"/>
      <c r="AA81" s="125"/>
      <c r="AB81" s="4"/>
    </row>
    <row r="82" spans="1:28" x14ac:dyDescent="0.2">
      <c r="A82" s="88"/>
      <c r="B82" s="87" t="s">
        <v>48</v>
      </c>
      <c r="C82" s="193">
        <f t="shared" ref="C82:T82" si="32">SUM(C6,C11,C17,C23,C27,C32,C36,C42,C46,C50,C56,C60,C64,C71,C75,C79)</f>
        <v>42900422.519999996</v>
      </c>
      <c r="D82" s="193">
        <f t="shared" si="32"/>
        <v>590794.4</v>
      </c>
      <c r="E82" s="193">
        <f t="shared" si="32"/>
        <v>9631645.3599999994</v>
      </c>
      <c r="F82" s="193">
        <f t="shared" si="32"/>
        <v>15575030.629999999</v>
      </c>
      <c r="G82" s="193">
        <f t="shared" si="32"/>
        <v>2139111.81</v>
      </c>
      <c r="H82" s="191">
        <f>SUM(C82,D82,E82,F82,G82)</f>
        <v>70837004.719999999</v>
      </c>
      <c r="I82" s="202"/>
      <c r="J82" s="151"/>
      <c r="K82" s="200">
        <f>C82/$H$82</f>
        <v>0.60562163363024812</v>
      </c>
      <c r="L82" s="200">
        <f>D82/$H$82</f>
        <v>8.3401945400607275E-3</v>
      </c>
      <c r="M82" s="200">
        <f>E82/$H$82</f>
        <v>0.13596912232626654</v>
      </c>
      <c r="N82" s="200">
        <f>F82/$H$82</f>
        <v>0.21987138913572063</v>
      </c>
      <c r="O82" s="200">
        <f>G82/$H$82</f>
        <v>3.0197660367703928E-2</v>
      </c>
      <c r="P82" s="151"/>
      <c r="Q82" s="161">
        <f t="shared" si="32"/>
        <v>47692614.890000001</v>
      </c>
      <c r="R82" s="161">
        <f t="shared" si="32"/>
        <v>11570426.409999998</v>
      </c>
      <c r="S82" s="161">
        <f t="shared" si="32"/>
        <v>7954443.6400000006</v>
      </c>
      <c r="T82" s="161">
        <f t="shared" si="32"/>
        <v>448566.69</v>
      </c>
      <c r="U82" s="155">
        <f>SUM(Q82,R82,S82,T82)</f>
        <v>67666051.629999995</v>
      </c>
      <c r="V82" s="202"/>
      <c r="W82" s="151"/>
      <c r="X82" s="200">
        <f>(Q82+R82)/U82</f>
        <v>0.87581645259948204</v>
      </c>
      <c r="Y82" s="200">
        <f>S82/U82</f>
        <v>0.11755442276276348</v>
      </c>
      <c r="Z82" s="200">
        <f>T82/U82</f>
        <v>6.6291246377544848E-3</v>
      </c>
      <c r="AA82" s="151"/>
      <c r="AB82" s="64">
        <f>SUM(AB6,AB11,AB17,AB23,AB27,AB32,AB36,AB42,AB46,AB50,AB56,AB60,AB64,AB71,AB75,AB79)</f>
        <v>3170953.09</v>
      </c>
    </row>
  </sheetData>
  <mergeCells count="4">
    <mergeCell ref="C1:I1"/>
    <mergeCell ref="Q1:V1"/>
    <mergeCell ref="X1:Z1"/>
    <mergeCell ref="K1:O1"/>
  </mergeCells>
  <pageMargins left="0.7" right="0.7" top="0.75" bottom="0.75" header="0.3" footer="0.3"/>
  <pageSetup paperSize="5" scale="63" fitToHeight="0" orientation="landscape" r:id="rId1"/>
  <headerFooter>
    <oddHeader>&amp;CSolicitor's Offices Revenue and Expenses (FY15-16)</oddHeader>
    <oddFooter>&amp;LData and analysis based on reports submitted by Commission on Indigent Defense and Commission on Prosecution Coordination pursuant to FY15-16 Proviso 117.110 and FY16-17 Proviso 117.109</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83"/>
  <sheetViews>
    <sheetView zoomScaleNormal="100" workbookViewId="0">
      <pane xSplit="2" ySplit="2" topLeftCell="C24" activePane="bottomRight" state="frozen"/>
      <selection pane="topRight" activeCell="C1" sqref="C1"/>
      <selection pane="bottomLeft" activeCell="A3" sqref="A3"/>
      <selection pane="bottomRight" activeCell="N46" sqref="N46"/>
    </sheetView>
  </sheetViews>
  <sheetFormatPr defaultColWidth="22.140625" defaultRowHeight="12.75" outlineLevelRow="1" outlineLevelCol="1" x14ac:dyDescent="0.2"/>
  <cols>
    <col min="1" max="1" width="7.140625" style="77" customWidth="1"/>
    <col min="2" max="2" width="11.7109375" style="1" bestFit="1" customWidth="1"/>
    <col min="3" max="3" width="14.28515625" style="1" bestFit="1" customWidth="1" outlineLevel="1"/>
    <col min="4" max="4" width="13.28515625" style="35" bestFit="1" customWidth="1" outlineLevel="1"/>
    <col min="5" max="5" width="15.42578125" style="1" bestFit="1" customWidth="1" outlineLevel="1"/>
    <col min="6" max="6" width="14.28515625" style="1" bestFit="1" customWidth="1" outlineLevel="1"/>
    <col min="7" max="7" width="13.28515625" style="1" bestFit="1" customWidth="1" outlineLevel="1"/>
    <col min="8" max="8" width="14.28515625" style="1" bestFit="1" customWidth="1" outlineLevel="1"/>
    <col min="9" max="9" width="39.7109375" style="1" customWidth="1" outlineLevel="1"/>
    <col min="10" max="10" width="2.7109375" style="1" customWidth="1"/>
    <col min="11" max="11" width="7.7109375" style="56" hidden="1" customWidth="1" outlineLevel="1"/>
    <col min="12" max="12" width="8.7109375" style="56" hidden="1" customWidth="1" outlineLevel="1"/>
    <col min="13" max="13" width="10.42578125" style="56" hidden="1" customWidth="1" outlineLevel="1"/>
    <col min="14" max="14" width="8" style="56" hidden="1" customWidth="1" outlineLevel="1"/>
    <col min="15" max="15" width="9.5703125" style="56" hidden="1" customWidth="1" outlineLevel="1"/>
    <col min="16" max="16" width="2.7109375" style="1" customWidth="1" collapsed="1"/>
    <col min="17" max="17" width="15.42578125" style="1" customWidth="1" outlineLevel="1"/>
    <col min="18" max="18" width="14.28515625" style="1" customWidth="1" outlineLevel="1"/>
    <col min="19" max="19" width="16.7109375" style="1" bestFit="1" customWidth="1" outlineLevel="1"/>
    <col min="20" max="20" width="20.140625" style="1" bestFit="1" customWidth="1" outlineLevel="1"/>
    <col min="21" max="21" width="14.28515625" style="1" bestFit="1" customWidth="1" outlineLevel="1"/>
    <col min="22" max="22" width="22.140625" style="1" outlineLevel="1"/>
    <col min="23" max="23" width="2.7109375" style="1" customWidth="1"/>
    <col min="24" max="24" width="11.7109375" style="56" hidden="1" customWidth="1" outlineLevel="1"/>
    <col min="25" max="25" width="9.85546875" style="56" hidden="1" customWidth="1" outlineLevel="1"/>
    <col min="26" max="26" width="10.7109375" style="56" hidden="1" customWidth="1" outlineLevel="1"/>
    <col min="27" max="27" width="2.7109375" style="1" customWidth="1" collapsed="1"/>
    <col min="28" max="28" width="22" style="1" bestFit="1" customWidth="1"/>
    <col min="29" max="16384" width="22.140625" style="1"/>
  </cols>
  <sheetData>
    <row r="1" spans="1:28" ht="24" customHeight="1" x14ac:dyDescent="0.2">
      <c r="C1" s="285" t="s">
        <v>166</v>
      </c>
      <c r="D1" s="286"/>
      <c r="E1" s="286"/>
      <c r="F1" s="286"/>
      <c r="G1" s="286"/>
      <c r="H1" s="286"/>
      <c r="I1" s="286"/>
      <c r="J1" s="38"/>
      <c r="K1" s="293" t="s">
        <v>188</v>
      </c>
      <c r="L1" s="294"/>
      <c r="M1" s="294"/>
      <c r="N1" s="294"/>
      <c r="O1" s="294"/>
      <c r="P1" s="38"/>
      <c r="Q1" s="287" t="s">
        <v>165</v>
      </c>
      <c r="R1" s="288"/>
      <c r="S1" s="288"/>
      <c r="T1" s="288"/>
      <c r="U1" s="288"/>
      <c r="V1" s="288"/>
      <c r="W1" s="38"/>
      <c r="X1" s="289" t="s">
        <v>185</v>
      </c>
      <c r="Y1" s="290"/>
      <c r="Z1" s="290"/>
      <c r="AA1" s="38"/>
      <c r="AB1" s="66"/>
    </row>
    <row r="2" spans="1:28" ht="89.25" x14ac:dyDescent="0.2">
      <c r="A2" s="17" t="s">
        <v>79</v>
      </c>
      <c r="B2" s="17" t="s">
        <v>176</v>
      </c>
      <c r="C2" s="17" t="s">
        <v>172</v>
      </c>
      <c r="D2" s="18" t="s">
        <v>173</v>
      </c>
      <c r="E2" s="19" t="s">
        <v>174</v>
      </c>
      <c r="F2" s="17" t="s">
        <v>175</v>
      </c>
      <c r="G2" s="17" t="s">
        <v>86</v>
      </c>
      <c r="H2" s="17" t="s">
        <v>84</v>
      </c>
      <c r="I2" s="21" t="s">
        <v>87</v>
      </c>
      <c r="J2" s="126"/>
      <c r="K2" s="209" t="s">
        <v>80</v>
      </c>
      <c r="L2" s="209" t="s">
        <v>183</v>
      </c>
      <c r="M2" s="209" t="s">
        <v>82</v>
      </c>
      <c r="N2" s="209" t="s">
        <v>81</v>
      </c>
      <c r="O2" s="209" t="s">
        <v>86</v>
      </c>
      <c r="P2" s="126"/>
      <c r="Q2" s="17" t="s">
        <v>152</v>
      </c>
      <c r="R2" s="18" t="s">
        <v>153</v>
      </c>
      <c r="S2" s="19" t="s">
        <v>154</v>
      </c>
      <c r="T2" s="17" t="s">
        <v>82</v>
      </c>
      <c r="U2" s="17" t="s">
        <v>65</v>
      </c>
      <c r="V2" s="127" t="s">
        <v>55</v>
      </c>
      <c r="W2" s="126"/>
      <c r="X2" s="209" t="s">
        <v>186</v>
      </c>
      <c r="Y2" s="222" t="s">
        <v>187</v>
      </c>
      <c r="Z2" s="222" t="s">
        <v>82</v>
      </c>
      <c r="AA2" s="126"/>
      <c r="AB2" s="127" t="s">
        <v>163</v>
      </c>
    </row>
    <row r="3" spans="1:28" hidden="1" outlineLevel="1" x14ac:dyDescent="0.2">
      <c r="A3" s="88">
        <v>1</v>
      </c>
      <c r="B3" s="32" t="s">
        <v>88</v>
      </c>
      <c r="C3" s="189">
        <v>95000</v>
      </c>
      <c r="D3" s="189">
        <v>0</v>
      </c>
      <c r="E3" s="189">
        <v>96745</v>
      </c>
      <c r="F3" s="189">
        <v>0</v>
      </c>
      <c r="G3" s="189">
        <v>0</v>
      </c>
      <c r="H3" s="189">
        <f>SUM(C3:G3)</f>
        <v>191745</v>
      </c>
      <c r="I3" s="184"/>
      <c r="J3" s="125"/>
      <c r="K3" s="200"/>
      <c r="L3" s="200"/>
      <c r="M3" s="200"/>
      <c r="N3" s="200"/>
      <c r="O3" s="200"/>
      <c r="P3" s="125"/>
      <c r="Q3" s="152">
        <v>95000</v>
      </c>
      <c r="R3" s="152">
        <v>40285</v>
      </c>
      <c r="S3" s="152">
        <v>0</v>
      </c>
      <c r="T3" s="152">
        <v>0</v>
      </c>
      <c r="U3" s="152">
        <f>SUM(Q3:T3)</f>
        <v>135285</v>
      </c>
      <c r="V3" s="188"/>
      <c r="W3" s="125"/>
      <c r="X3" s="200"/>
      <c r="Y3" s="184"/>
      <c r="Z3" s="184"/>
      <c r="AA3" s="125"/>
      <c r="AB3" s="6">
        <f>H3-U3</f>
        <v>56460</v>
      </c>
    </row>
    <row r="4" spans="1:28" hidden="1" outlineLevel="1" x14ac:dyDescent="0.2">
      <c r="A4" s="88">
        <v>1</v>
      </c>
      <c r="B4" s="32" t="s">
        <v>89</v>
      </c>
      <c r="C4" s="189">
        <v>768050</v>
      </c>
      <c r="D4" s="189">
        <v>0</v>
      </c>
      <c r="E4" s="189">
        <v>950874</v>
      </c>
      <c r="F4" s="189">
        <v>321490</v>
      </c>
      <c r="G4" s="189">
        <v>94901</v>
      </c>
      <c r="H4" s="189">
        <f>SUM(C4:G4)</f>
        <v>2135315</v>
      </c>
      <c r="I4" s="184"/>
      <c r="J4" s="125"/>
      <c r="K4" s="200"/>
      <c r="L4" s="200"/>
      <c r="M4" s="200"/>
      <c r="N4" s="200"/>
      <c r="O4" s="200"/>
      <c r="P4" s="125"/>
      <c r="Q4" s="152">
        <v>854586</v>
      </c>
      <c r="R4" s="152">
        <v>269435</v>
      </c>
      <c r="S4" s="152">
        <v>141531</v>
      </c>
      <c r="T4" s="152">
        <v>0</v>
      </c>
      <c r="U4" s="152">
        <f>SUM(Q4:T4)</f>
        <v>1265552</v>
      </c>
      <c r="V4" s="188"/>
      <c r="W4" s="125"/>
      <c r="X4" s="200"/>
      <c r="Y4" s="184"/>
      <c r="Z4" s="184"/>
      <c r="AA4" s="125"/>
      <c r="AB4" s="6">
        <f>H4-U4</f>
        <v>869763</v>
      </c>
    </row>
    <row r="5" spans="1:28" ht="13.5" hidden="1" outlineLevel="1" thickBot="1" x14ac:dyDescent="0.25">
      <c r="A5" s="88">
        <v>1</v>
      </c>
      <c r="B5" s="32" t="s">
        <v>90</v>
      </c>
      <c r="C5" s="190">
        <v>654288</v>
      </c>
      <c r="D5" s="190">
        <v>0</v>
      </c>
      <c r="E5" s="190">
        <v>0</v>
      </c>
      <c r="F5" s="190">
        <v>0</v>
      </c>
      <c r="G5" s="190">
        <v>0</v>
      </c>
      <c r="H5" s="190">
        <f>SUM(C5:G5)</f>
        <v>654288</v>
      </c>
      <c r="I5" s="184"/>
      <c r="J5" s="125"/>
      <c r="K5" s="201"/>
      <c r="L5" s="201"/>
      <c r="M5" s="201"/>
      <c r="N5" s="201"/>
      <c r="O5" s="201"/>
      <c r="P5" s="125"/>
      <c r="Q5" s="154">
        <v>889570</v>
      </c>
      <c r="R5" s="154">
        <v>280432</v>
      </c>
      <c r="S5" s="154">
        <v>147311</v>
      </c>
      <c r="T5" s="154">
        <v>0</v>
      </c>
      <c r="U5" s="154">
        <f>SUM(Q5:T5)</f>
        <v>1317313</v>
      </c>
      <c r="V5" s="188"/>
      <c r="W5" s="125"/>
      <c r="X5" s="201"/>
      <c r="Y5" s="184"/>
      <c r="Z5" s="184"/>
      <c r="AA5" s="125"/>
      <c r="AB5" s="62">
        <f>H5-U5</f>
        <v>-663025</v>
      </c>
    </row>
    <row r="6" spans="1:28" collapsed="1" x14ac:dyDescent="0.2">
      <c r="A6" s="40">
        <v>1</v>
      </c>
      <c r="B6" s="45" t="s">
        <v>4</v>
      </c>
      <c r="C6" s="191">
        <f t="shared" ref="C6:G6" si="0">SUM(C3:C5)</f>
        <v>1517338</v>
      </c>
      <c r="D6" s="191">
        <f t="shared" si="0"/>
        <v>0</v>
      </c>
      <c r="E6" s="191">
        <f t="shared" si="0"/>
        <v>1047619</v>
      </c>
      <c r="F6" s="191">
        <f t="shared" si="0"/>
        <v>321490</v>
      </c>
      <c r="G6" s="191">
        <f t="shared" si="0"/>
        <v>94901</v>
      </c>
      <c r="H6" s="191">
        <f>SUM(C6,D6,E6,F6,G6)</f>
        <v>2981348</v>
      </c>
      <c r="I6" s="184"/>
      <c r="J6" s="125"/>
      <c r="K6" s="200">
        <f>C6/H6</f>
        <v>0.50894360537582328</v>
      </c>
      <c r="L6" s="200">
        <f>D6/H6</f>
        <v>0</v>
      </c>
      <c r="M6" s="200">
        <f>E6/H6</f>
        <v>0.35139104861290932</v>
      </c>
      <c r="N6" s="200">
        <f>F6/H6</f>
        <v>0.10783377183743729</v>
      </c>
      <c r="O6" s="200">
        <f>G6/H6</f>
        <v>3.1831574173830091E-2</v>
      </c>
      <c r="P6" s="125"/>
      <c r="Q6" s="155">
        <f t="shared" ref="Q6:T6" si="1">SUM(Q3:Q5)</f>
        <v>1839156</v>
      </c>
      <c r="R6" s="155">
        <f t="shared" si="1"/>
        <v>590152</v>
      </c>
      <c r="S6" s="155">
        <f t="shared" si="1"/>
        <v>288842</v>
      </c>
      <c r="T6" s="155">
        <f t="shared" si="1"/>
        <v>0</v>
      </c>
      <c r="U6" s="155">
        <f>SUM(Q6,R6,S6,T6)</f>
        <v>2718150</v>
      </c>
      <c r="V6" s="188"/>
      <c r="W6" s="125"/>
      <c r="X6" s="200">
        <f>(Q6+R6)/U6</f>
        <v>0.89373581296102134</v>
      </c>
      <c r="Y6" s="200">
        <f>S6/U6</f>
        <v>0.10626418703897872</v>
      </c>
      <c r="Z6" s="200">
        <f>T6/U6</f>
        <v>0</v>
      </c>
      <c r="AA6" s="125"/>
      <c r="AB6" s="6">
        <f>H6-U6</f>
        <v>263198</v>
      </c>
    </row>
    <row r="7" spans="1:28" x14ac:dyDescent="0.2">
      <c r="A7" s="90"/>
      <c r="B7" s="72"/>
      <c r="C7" s="26"/>
      <c r="D7" s="26"/>
      <c r="E7" s="26"/>
      <c r="F7" s="26"/>
      <c r="G7" s="26"/>
      <c r="H7" s="31"/>
      <c r="I7" s="31"/>
      <c r="J7" s="125"/>
      <c r="K7" s="26"/>
      <c r="L7" s="26"/>
      <c r="M7" s="26"/>
      <c r="N7" s="26"/>
      <c r="O7" s="26"/>
      <c r="P7" s="125"/>
      <c r="Q7" s="30"/>
      <c r="R7" s="26"/>
      <c r="S7" s="26"/>
      <c r="T7" s="26"/>
      <c r="U7" s="31"/>
      <c r="V7" s="31"/>
      <c r="W7" s="125"/>
      <c r="X7" s="26"/>
      <c r="Y7" s="26"/>
      <c r="Z7" s="26"/>
      <c r="AA7" s="125"/>
      <c r="AB7" s="10"/>
    </row>
    <row r="8" spans="1:28" ht="25.5" hidden="1" outlineLevel="1" x14ac:dyDescent="0.2">
      <c r="A8" s="88">
        <v>2</v>
      </c>
      <c r="B8" s="32" t="s">
        <v>91</v>
      </c>
      <c r="C8" s="189">
        <v>1586668</v>
      </c>
      <c r="D8" s="189">
        <v>0</v>
      </c>
      <c r="E8" s="189">
        <v>303867</v>
      </c>
      <c r="F8" s="189">
        <v>1396009</v>
      </c>
      <c r="G8" s="189">
        <v>3100</v>
      </c>
      <c r="H8" s="189">
        <f>SUM(C8:G8)</f>
        <v>3289644</v>
      </c>
      <c r="I8" s="184"/>
      <c r="J8" s="125"/>
      <c r="K8" s="200"/>
      <c r="L8" s="200"/>
      <c r="M8" s="200"/>
      <c r="N8" s="200"/>
      <c r="O8" s="200"/>
      <c r="P8" s="125"/>
      <c r="Q8" s="152">
        <v>2253404</v>
      </c>
      <c r="R8" s="152">
        <v>708907</v>
      </c>
      <c r="S8" s="152">
        <v>545279</v>
      </c>
      <c r="T8" s="152">
        <v>0</v>
      </c>
      <c r="U8" s="152">
        <f>SUM(Q8:T8)</f>
        <v>3507590</v>
      </c>
      <c r="V8" s="188" t="s">
        <v>56</v>
      </c>
      <c r="W8" s="125"/>
      <c r="X8" s="200"/>
      <c r="Y8" s="200"/>
      <c r="Z8" s="200"/>
      <c r="AA8" s="125"/>
      <c r="AB8" s="6">
        <f>H8-U8</f>
        <v>-217946</v>
      </c>
    </row>
    <row r="9" spans="1:28" hidden="1" outlineLevel="1" x14ac:dyDescent="0.2">
      <c r="A9" s="88">
        <v>2</v>
      </c>
      <c r="B9" s="32" t="s">
        <v>92</v>
      </c>
      <c r="C9" s="189">
        <v>81726</v>
      </c>
      <c r="D9" s="189">
        <v>0</v>
      </c>
      <c r="E9" s="189">
        <v>0</v>
      </c>
      <c r="F9" s="189">
        <v>0</v>
      </c>
      <c r="G9" s="189">
        <v>0</v>
      </c>
      <c r="H9" s="189">
        <f>SUM(C9:G9)</f>
        <v>81726</v>
      </c>
      <c r="I9" s="184"/>
      <c r="J9" s="125"/>
      <c r="K9" s="200"/>
      <c r="L9" s="200"/>
      <c r="M9" s="200"/>
      <c r="N9" s="200"/>
      <c r="O9" s="200"/>
      <c r="P9" s="125"/>
      <c r="Q9" s="152">
        <v>0</v>
      </c>
      <c r="R9" s="152">
        <v>0</v>
      </c>
      <c r="S9" s="152">
        <v>0</v>
      </c>
      <c r="T9" s="152">
        <v>0</v>
      </c>
      <c r="U9" s="152">
        <f>SUM(Q9:T9)</f>
        <v>0</v>
      </c>
      <c r="V9" s="188"/>
      <c r="W9" s="125"/>
      <c r="X9" s="200"/>
      <c r="Y9" s="200"/>
      <c r="Z9" s="200"/>
      <c r="AA9" s="125"/>
      <c r="AB9" s="6"/>
    </row>
    <row r="10" spans="1:28" ht="13.5" hidden="1" outlineLevel="1" thickBot="1" x14ac:dyDescent="0.25">
      <c r="A10" s="88">
        <v>2</v>
      </c>
      <c r="B10" s="32" t="s">
        <v>93</v>
      </c>
      <c r="C10" s="190">
        <v>130000</v>
      </c>
      <c r="D10" s="190">
        <v>0</v>
      </c>
      <c r="E10" s="190">
        <v>0</v>
      </c>
      <c r="F10" s="190">
        <v>0</v>
      </c>
      <c r="G10" s="190">
        <v>0</v>
      </c>
      <c r="H10" s="190">
        <f>SUM(C10:G10)</f>
        <v>130000</v>
      </c>
      <c r="I10" s="184"/>
      <c r="J10" s="125"/>
      <c r="K10" s="201"/>
      <c r="L10" s="201"/>
      <c r="M10" s="201"/>
      <c r="N10" s="201"/>
      <c r="O10" s="201"/>
      <c r="P10" s="125"/>
      <c r="Q10" s="154">
        <v>0</v>
      </c>
      <c r="R10" s="154">
        <v>0</v>
      </c>
      <c r="S10" s="154">
        <v>0</v>
      </c>
      <c r="T10" s="154">
        <v>0</v>
      </c>
      <c r="U10" s="154">
        <f>SUM(Q10:T10)</f>
        <v>0</v>
      </c>
      <c r="V10" s="188"/>
      <c r="W10" s="125"/>
      <c r="X10" s="201"/>
      <c r="Y10" s="201"/>
      <c r="Z10" s="201"/>
      <c r="AA10" s="125"/>
      <c r="AB10" s="62"/>
    </row>
    <row r="11" spans="1:28" collapsed="1" x14ac:dyDescent="0.2">
      <c r="A11" s="40">
        <v>2</v>
      </c>
      <c r="B11" s="45" t="s">
        <v>4</v>
      </c>
      <c r="C11" s="191">
        <f t="shared" ref="C11:G11" si="2">SUM(C8:C10)</f>
        <v>1798394</v>
      </c>
      <c r="D11" s="191">
        <f t="shared" si="2"/>
        <v>0</v>
      </c>
      <c r="E11" s="191">
        <f t="shared" si="2"/>
        <v>303867</v>
      </c>
      <c r="F11" s="191">
        <f t="shared" si="2"/>
        <v>1396009</v>
      </c>
      <c r="G11" s="191">
        <f t="shared" si="2"/>
        <v>3100</v>
      </c>
      <c r="H11" s="191">
        <f>SUM(C11,D11,E11,F11,G11)</f>
        <v>3501370</v>
      </c>
      <c r="I11" s="184"/>
      <c r="J11" s="125"/>
      <c r="K11" s="200">
        <f>C11/H11</f>
        <v>0.51362580932606383</v>
      </c>
      <c r="L11" s="200">
        <f>D11/H11</f>
        <v>0</v>
      </c>
      <c r="M11" s="200">
        <f>E11/H11</f>
        <v>8.6785172660986981E-2</v>
      </c>
      <c r="N11" s="200">
        <f>F11/H11</f>
        <v>0.39870365028545968</v>
      </c>
      <c r="O11" s="200">
        <f>G11/H11</f>
        <v>8.8536772748952551E-4</v>
      </c>
      <c r="P11" s="125"/>
      <c r="Q11" s="155">
        <f t="shared" ref="Q11:T11" si="3">SUM(Q8:Q10)</f>
        <v>2253404</v>
      </c>
      <c r="R11" s="155">
        <f t="shared" si="3"/>
        <v>708907</v>
      </c>
      <c r="S11" s="155">
        <f t="shared" si="3"/>
        <v>545279</v>
      </c>
      <c r="T11" s="155">
        <f t="shared" si="3"/>
        <v>0</v>
      </c>
      <c r="U11" s="155">
        <f>SUM(Q11,R11,S11,T11)</f>
        <v>3507590</v>
      </c>
      <c r="V11" s="188"/>
      <c r="W11" s="125"/>
      <c r="X11" s="200">
        <f>(Q11+R11)/U11</f>
        <v>0.84454311934975301</v>
      </c>
      <c r="Y11" s="200">
        <f>S11/U11</f>
        <v>0.15545688065024704</v>
      </c>
      <c r="Z11" s="200">
        <f>T11/U11</f>
        <v>0</v>
      </c>
      <c r="AA11" s="125"/>
      <c r="AB11" s="6">
        <f>H11-U11</f>
        <v>-6220</v>
      </c>
    </row>
    <row r="12" spans="1:28" s="5" customFormat="1" x14ac:dyDescent="0.2">
      <c r="A12" s="91"/>
      <c r="B12" s="26"/>
      <c r="C12" s="26"/>
      <c r="D12" s="26"/>
      <c r="E12" s="26"/>
      <c r="F12" s="26"/>
      <c r="G12" s="26"/>
      <c r="H12" s="31"/>
      <c r="I12" s="31"/>
      <c r="J12" s="125"/>
      <c r="K12" s="26"/>
      <c r="L12" s="26"/>
      <c r="M12" s="26"/>
      <c r="N12" s="26"/>
      <c r="O12" s="26"/>
      <c r="P12" s="125"/>
      <c r="Q12" s="30"/>
      <c r="R12" s="26"/>
      <c r="S12" s="26"/>
      <c r="T12" s="26"/>
      <c r="U12" s="31"/>
      <c r="V12" s="31"/>
      <c r="W12" s="11"/>
      <c r="X12" s="26"/>
      <c r="Y12" s="26"/>
      <c r="Z12" s="26"/>
      <c r="AA12" s="11"/>
      <c r="AB12" s="10"/>
    </row>
    <row r="13" spans="1:28" hidden="1" outlineLevel="1" x14ac:dyDescent="0.2">
      <c r="A13" s="88">
        <v>3</v>
      </c>
      <c r="B13" s="32" t="s">
        <v>94</v>
      </c>
      <c r="C13" s="189">
        <v>0</v>
      </c>
      <c r="D13" s="189">
        <v>0</v>
      </c>
      <c r="E13" s="189">
        <v>0</v>
      </c>
      <c r="F13" s="189">
        <v>0</v>
      </c>
      <c r="G13" s="189">
        <v>0</v>
      </c>
      <c r="H13" s="189">
        <f>SUM(C13:G13)</f>
        <v>0</v>
      </c>
      <c r="I13" s="184"/>
      <c r="J13" s="125"/>
      <c r="K13" s="200"/>
      <c r="L13" s="200"/>
      <c r="M13" s="200"/>
      <c r="N13" s="200"/>
      <c r="O13" s="200"/>
      <c r="P13" s="125"/>
      <c r="Q13" s="152">
        <v>0</v>
      </c>
      <c r="R13" s="152">
        <v>0</v>
      </c>
      <c r="S13" s="152">
        <v>0</v>
      </c>
      <c r="T13" s="152">
        <v>0</v>
      </c>
      <c r="U13" s="152">
        <f>SUM(Q13:T13)</f>
        <v>0</v>
      </c>
      <c r="V13" s="188"/>
      <c r="W13" s="125"/>
      <c r="X13" s="200"/>
      <c r="Y13" s="200"/>
      <c r="Z13" s="200"/>
      <c r="AA13" s="125"/>
      <c r="AB13" s="6">
        <f>H13-U13</f>
        <v>0</v>
      </c>
    </row>
    <row r="14" spans="1:28" hidden="1" outlineLevel="1" x14ac:dyDescent="0.2">
      <c r="A14" s="88">
        <v>3</v>
      </c>
      <c r="B14" s="32" t="s">
        <v>95</v>
      </c>
      <c r="C14" s="189">
        <v>0</v>
      </c>
      <c r="D14" s="189">
        <v>0</v>
      </c>
      <c r="E14" s="189">
        <v>0</v>
      </c>
      <c r="F14" s="189">
        <v>0</v>
      </c>
      <c r="G14" s="189">
        <v>0</v>
      </c>
      <c r="H14" s="189">
        <f>SUM(C14:G14)</f>
        <v>0</v>
      </c>
      <c r="I14" s="184"/>
      <c r="J14" s="125"/>
      <c r="K14" s="200"/>
      <c r="L14" s="200"/>
      <c r="M14" s="200"/>
      <c r="N14" s="200"/>
      <c r="O14" s="200"/>
      <c r="P14" s="125"/>
      <c r="Q14" s="152">
        <v>0</v>
      </c>
      <c r="R14" s="152">
        <v>0</v>
      </c>
      <c r="S14" s="152">
        <v>0</v>
      </c>
      <c r="T14" s="152">
        <v>0</v>
      </c>
      <c r="U14" s="152">
        <f>SUM(Q14:T14)</f>
        <v>0</v>
      </c>
      <c r="V14" s="188"/>
      <c r="W14" s="125"/>
      <c r="X14" s="200"/>
      <c r="Y14" s="200"/>
      <c r="Z14" s="200"/>
      <c r="AA14" s="125"/>
      <c r="AB14" s="6">
        <f>H14-U14</f>
        <v>0</v>
      </c>
    </row>
    <row r="15" spans="1:28" ht="25.5" hidden="1" outlineLevel="1" x14ac:dyDescent="0.2">
      <c r="A15" s="88">
        <v>3</v>
      </c>
      <c r="B15" s="32" t="s">
        <v>96</v>
      </c>
      <c r="C15" s="189">
        <v>483479</v>
      </c>
      <c r="D15" s="189">
        <v>0</v>
      </c>
      <c r="E15" s="189">
        <v>107505</v>
      </c>
      <c r="F15" s="189">
        <v>1796840.94</v>
      </c>
      <c r="G15" s="189">
        <v>0</v>
      </c>
      <c r="H15" s="189">
        <f>SUM(C15:G15)</f>
        <v>2387824.94</v>
      </c>
      <c r="I15" s="184" t="s">
        <v>57</v>
      </c>
      <c r="J15" s="125"/>
      <c r="K15" s="200"/>
      <c r="L15" s="200"/>
      <c r="M15" s="200"/>
      <c r="N15" s="200"/>
      <c r="O15" s="200"/>
      <c r="P15" s="125"/>
      <c r="Q15" s="152">
        <v>1196129</v>
      </c>
      <c r="R15" s="152">
        <v>430022</v>
      </c>
      <c r="S15" s="152">
        <v>172941.73</v>
      </c>
      <c r="T15" s="152">
        <v>149132.32999999999</v>
      </c>
      <c r="U15" s="152">
        <f>SUM(Q15:T15)</f>
        <v>1948225.06</v>
      </c>
      <c r="V15" s="188" t="s">
        <v>57</v>
      </c>
      <c r="W15" s="125"/>
      <c r="X15" s="200"/>
      <c r="Y15" s="200"/>
      <c r="Z15" s="200"/>
      <c r="AA15" s="125"/>
      <c r="AB15" s="6">
        <f>H15-U15</f>
        <v>439599.87999999989</v>
      </c>
    </row>
    <row r="16" spans="1:28" ht="13.5" hidden="1" outlineLevel="1" thickBot="1" x14ac:dyDescent="0.25">
      <c r="A16" s="88">
        <v>3</v>
      </c>
      <c r="B16" s="32" t="s">
        <v>98</v>
      </c>
      <c r="C16" s="190">
        <v>0</v>
      </c>
      <c r="D16" s="190">
        <v>0</v>
      </c>
      <c r="E16" s="190">
        <v>0</v>
      </c>
      <c r="F16" s="190">
        <v>0</v>
      </c>
      <c r="G16" s="190">
        <v>0</v>
      </c>
      <c r="H16" s="190">
        <f>SUM(C16:G16)</f>
        <v>0</v>
      </c>
      <c r="I16" s="184"/>
      <c r="J16" s="125"/>
      <c r="K16" s="201"/>
      <c r="L16" s="201"/>
      <c r="M16" s="201"/>
      <c r="N16" s="201"/>
      <c r="O16" s="201"/>
      <c r="P16" s="125"/>
      <c r="Q16" s="154">
        <v>0</v>
      </c>
      <c r="R16" s="154">
        <v>0</v>
      </c>
      <c r="S16" s="154">
        <v>0</v>
      </c>
      <c r="T16" s="154">
        <v>0</v>
      </c>
      <c r="U16" s="154">
        <f>SUM(Q16:T16)</f>
        <v>0</v>
      </c>
      <c r="V16" s="188"/>
      <c r="W16" s="125"/>
      <c r="X16" s="201"/>
      <c r="Y16" s="201"/>
      <c r="Z16" s="201"/>
      <c r="AA16" s="125"/>
      <c r="AB16" s="62">
        <f>H16-U16</f>
        <v>0</v>
      </c>
    </row>
    <row r="17" spans="1:28" collapsed="1" x14ac:dyDescent="0.2">
      <c r="A17" s="40">
        <v>3</v>
      </c>
      <c r="B17" s="45" t="s">
        <v>4</v>
      </c>
      <c r="C17" s="191">
        <f t="shared" ref="C17:G17" si="4">SUM(C13:C16)</f>
        <v>483479</v>
      </c>
      <c r="D17" s="191">
        <f t="shared" si="4"/>
        <v>0</v>
      </c>
      <c r="E17" s="191">
        <f t="shared" si="4"/>
        <v>107505</v>
      </c>
      <c r="F17" s="191">
        <f t="shared" si="4"/>
        <v>1796840.94</v>
      </c>
      <c r="G17" s="191">
        <f t="shared" si="4"/>
        <v>0</v>
      </c>
      <c r="H17" s="191">
        <f>SUM(C17,D17,E17,F17,G17)</f>
        <v>2387824.94</v>
      </c>
      <c r="I17" s="184"/>
      <c r="J17" s="125"/>
      <c r="K17" s="200">
        <f>C17/H17</f>
        <v>0.2024767360039384</v>
      </c>
      <c r="L17" s="200">
        <f>D17/H17</f>
        <v>0</v>
      </c>
      <c r="M17" s="200">
        <f>E17/H17</f>
        <v>4.5022144713841541E-2</v>
      </c>
      <c r="N17" s="200">
        <f>F17/H17</f>
        <v>0.75250111928222008</v>
      </c>
      <c r="O17" s="200">
        <f>G17/H17</f>
        <v>0</v>
      </c>
      <c r="P17" s="125"/>
      <c r="Q17" s="155">
        <f t="shared" ref="Q17:T17" si="5">SUM(Q13:Q16)</f>
        <v>1196129</v>
      </c>
      <c r="R17" s="155">
        <f t="shared" si="5"/>
        <v>430022</v>
      </c>
      <c r="S17" s="155">
        <f t="shared" si="5"/>
        <v>172941.73</v>
      </c>
      <c r="T17" s="155">
        <f t="shared" si="5"/>
        <v>149132.32999999999</v>
      </c>
      <c r="U17" s="155">
        <f>SUM(Q17,R17,S17,T17)</f>
        <v>1948225.06</v>
      </c>
      <c r="V17" s="188"/>
      <c r="W17" s="125"/>
      <c r="X17" s="200">
        <f>(Q17+R17)/U17</f>
        <v>0.83468333992172339</v>
      </c>
      <c r="Y17" s="200">
        <f>S17/U17</f>
        <v>8.876886636495683E-2</v>
      </c>
      <c r="Z17" s="200">
        <f>T17/U17</f>
        <v>7.6547793713319739E-2</v>
      </c>
      <c r="AA17" s="125"/>
      <c r="AB17" s="6">
        <f>H17-U17</f>
        <v>439599.87999999989</v>
      </c>
    </row>
    <row r="18" spans="1:28" s="5" customFormat="1" ht="13.5" thickBot="1" x14ac:dyDescent="0.25">
      <c r="A18" s="91"/>
      <c r="B18" s="26"/>
      <c r="C18" s="26"/>
      <c r="D18" s="26"/>
      <c r="E18" s="26"/>
      <c r="F18" s="26"/>
      <c r="G18" s="26"/>
      <c r="H18" s="31"/>
      <c r="I18" s="31"/>
      <c r="J18" s="125"/>
      <c r="K18" s="26"/>
      <c r="L18" s="26"/>
      <c r="M18" s="26"/>
      <c r="N18" s="26"/>
      <c r="O18" s="26"/>
      <c r="P18" s="125"/>
      <c r="Q18" s="30"/>
      <c r="R18" s="26"/>
      <c r="S18" s="26"/>
      <c r="T18" s="26"/>
      <c r="U18" s="31"/>
      <c r="V18" s="31"/>
      <c r="W18" s="11"/>
      <c r="X18" s="26"/>
      <c r="Y18" s="26"/>
      <c r="Z18" s="26"/>
      <c r="AA18" s="11"/>
      <c r="AB18" s="10"/>
    </row>
    <row r="19" spans="1:28" ht="13.5" hidden="1" outlineLevel="1" thickBot="1" x14ac:dyDescent="0.25">
      <c r="A19" s="88">
        <v>4</v>
      </c>
      <c r="B19" s="32" t="s">
        <v>99</v>
      </c>
      <c r="C19" s="297">
        <v>147178</v>
      </c>
      <c r="D19" s="297"/>
      <c r="E19" s="189">
        <v>0</v>
      </c>
      <c r="F19" s="189">
        <v>0</v>
      </c>
      <c r="G19" s="189">
        <v>0</v>
      </c>
      <c r="H19" s="189">
        <f>SUM(C19:G19)</f>
        <v>147178</v>
      </c>
      <c r="I19" s="184"/>
      <c r="J19" s="125"/>
      <c r="K19" s="184"/>
      <c r="L19" s="210"/>
      <c r="M19" s="200"/>
      <c r="N19" s="200"/>
      <c r="O19" s="200"/>
      <c r="P19" s="125"/>
      <c r="Q19" s="152">
        <v>0</v>
      </c>
      <c r="R19" s="152">
        <v>0</v>
      </c>
      <c r="S19" s="152">
        <v>0</v>
      </c>
      <c r="T19" s="152">
        <v>0</v>
      </c>
      <c r="U19" s="152">
        <f>SUM(Q19:T19)</f>
        <v>0</v>
      </c>
      <c r="V19" s="188"/>
      <c r="W19" s="125"/>
      <c r="X19" s="200"/>
      <c r="Y19" s="200"/>
      <c r="Z19" s="200"/>
      <c r="AA19" s="125"/>
      <c r="AB19" s="6"/>
    </row>
    <row r="20" spans="1:28" ht="13.5" hidden="1" outlineLevel="1" thickBot="1" x14ac:dyDescent="0.25">
      <c r="A20" s="88">
        <v>4</v>
      </c>
      <c r="B20" s="32" t="s">
        <v>100</v>
      </c>
      <c r="C20" s="297">
        <v>137200</v>
      </c>
      <c r="D20" s="297"/>
      <c r="E20" s="189">
        <v>0</v>
      </c>
      <c r="F20" s="189">
        <v>0</v>
      </c>
      <c r="G20" s="189">
        <v>0</v>
      </c>
      <c r="H20" s="189">
        <f>SUM(C20:G20)</f>
        <v>137200</v>
      </c>
      <c r="I20" s="184"/>
      <c r="J20" s="125"/>
      <c r="K20" s="184"/>
      <c r="L20" s="210"/>
      <c r="M20" s="200"/>
      <c r="N20" s="200"/>
      <c r="O20" s="200"/>
      <c r="P20" s="125"/>
      <c r="Q20" s="152">
        <v>0</v>
      </c>
      <c r="R20" s="152">
        <v>0</v>
      </c>
      <c r="S20" s="152">
        <v>0</v>
      </c>
      <c r="T20" s="152">
        <v>0</v>
      </c>
      <c r="U20" s="152">
        <f>SUM(Q20:T20)</f>
        <v>0</v>
      </c>
      <c r="V20" s="188"/>
      <c r="W20" s="125"/>
      <c r="X20" s="200"/>
      <c r="Y20" s="200"/>
      <c r="Z20" s="200"/>
      <c r="AA20" s="125"/>
      <c r="AB20" s="6"/>
    </row>
    <row r="21" spans="1:28" ht="13.5" hidden="1" outlineLevel="1" thickBot="1" x14ac:dyDescent="0.25">
      <c r="A21" s="88">
        <v>4</v>
      </c>
      <c r="B21" s="32" t="s">
        <v>101</v>
      </c>
      <c r="C21" s="297">
        <v>90000</v>
      </c>
      <c r="D21" s="297"/>
      <c r="E21" s="189">
        <v>0</v>
      </c>
      <c r="F21" s="189">
        <v>0</v>
      </c>
      <c r="G21" s="189">
        <v>0</v>
      </c>
      <c r="H21" s="189">
        <f>SUM(C21:G21)</f>
        <v>90000</v>
      </c>
      <c r="I21" s="184"/>
      <c r="J21" s="125"/>
      <c r="K21" s="184"/>
      <c r="L21" s="210"/>
      <c r="M21" s="200"/>
      <c r="N21" s="200"/>
      <c r="O21" s="200"/>
      <c r="P21" s="125"/>
      <c r="Q21" s="152">
        <v>0</v>
      </c>
      <c r="R21" s="152">
        <v>0</v>
      </c>
      <c r="S21" s="152">
        <v>0</v>
      </c>
      <c r="T21" s="152">
        <v>0</v>
      </c>
      <c r="U21" s="152">
        <f>SUM(Q21:T21)</f>
        <v>0</v>
      </c>
      <c r="V21" s="188"/>
      <c r="W21" s="125"/>
      <c r="X21" s="200"/>
      <c r="Y21" s="200"/>
      <c r="Z21" s="200"/>
      <c r="AA21" s="125"/>
      <c r="AB21" s="6"/>
    </row>
    <row r="22" spans="1:28" ht="13.5" hidden="1" outlineLevel="1" thickBot="1" x14ac:dyDescent="0.25">
      <c r="A22" s="88">
        <v>4</v>
      </c>
      <c r="B22" s="32" t="s">
        <v>102</v>
      </c>
      <c r="C22" s="295">
        <v>89000</v>
      </c>
      <c r="D22" s="295"/>
      <c r="E22" s="190">
        <v>0</v>
      </c>
      <c r="F22" s="190">
        <v>0</v>
      </c>
      <c r="G22" s="190">
        <v>0</v>
      </c>
      <c r="H22" s="190">
        <f>SUM(C22:G22)</f>
        <v>89000</v>
      </c>
      <c r="I22" s="184"/>
      <c r="J22" s="125"/>
      <c r="K22" s="184"/>
      <c r="L22" s="211"/>
      <c r="M22" s="201"/>
      <c r="N22" s="201"/>
      <c r="O22" s="201"/>
      <c r="P22" s="125"/>
      <c r="Q22" s="154">
        <v>0</v>
      </c>
      <c r="R22" s="154">
        <v>0</v>
      </c>
      <c r="S22" s="154">
        <v>0</v>
      </c>
      <c r="T22" s="154">
        <v>0</v>
      </c>
      <c r="U22" s="154">
        <f>SUM(Q22:T22)</f>
        <v>0</v>
      </c>
      <c r="V22" s="188"/>
      <c r="W22" s="125"/>
      <c r="X22" s="201"/>
      <c r="Y22" s="201"/>
      <c r="Z22" s="201"/>
      <c r="AA22" s="125"/>
      <c r="AB22" s="62"/>
    </row>
    <row r="23" spans="1:28" ht="77.25" collapsed="1" thickTop="1" x14ac:dyDescent="0.2">
      <c r="A23" s="40">
        <v>4</v>
      </c>
      <c r="B23" s="45" t="s">
        <v>4</v>
      </c>
      <c r="C23" s="296">
        <f t="shared" ref="C23:G23" si="6">SUM(C19:C22)</f>
        <v>463378</v>
      </c>
      <c r="D23" s="296"/>
      <c r="E23" s="191"/>
      <c r="F23" s="191">
        <v>1791246</v>
      </c>
      <c r="G23" s="191">
        <f t="shared" si="6"/>
        <v>0</v>
      </c>
      <c r="H23" s="191">
        <f>SUM(C23,D23,E23,F23,G23)</f>
        <v>2254624</v>
      </c>
      <c r="I23" s="184" t="s">
        <v>155</v>
      </c>
      <c r="J23" s="125"/>
      <c r="K23" s="184"/>
      <c r="L23" s="200">
        <f>C23/H23</f>
        <v>0.2055234043459131</v>
      </c>
      <c r="M23" s="200">
        <f>E23/H23</f>
        <v>0</v>
      </c>
      <c r="N23" s="200">
        <f>F23/H23</f>
        <v>0.7944765956540869</v>
      </c>
      <c r="O23" s="200">
        <f>G23/H23</f>
        <v>0</v>
      </c>
      <c r="P23" s="125"/>
      <c r="Q23" s="155">
        <v>1172156</v>
      </c>
      <c r="R23" s="155">
        <v>412993</v>
      </c>
      <c r="S23" s="155">
        <v>387003</v>
      </c>
      <c r="T23" s="155">
        <v>30712</v>
      </c>
      <c r="U23" s="155">
        <f>SUM(Q23,R23,S23,T23)</f>
        <v>2002864</v>
      </c>
      <c r="V23" s="43" t="s">
        <v>58</v>
      </c>
      <c r="W23" s="125"/>
      <c r="X23" s="200">
        <f>(Q23+R23)/U23</f>
        <v>0.79144115626422962</v>
      </c>
      <c r="Y23" s="200">
        <f>S23/U23</f>
        <v>0.19322480208341655</v>
      </c>
      <c r="Z23" s="200">
        <f>T23/U23</f>
        <v>1.5334041652353829E-2</v>
      </c>
      <c r="AA23" s="125"/>
      <c r="AB23" s="6">
        <f>H23-U23</f>
        <v>251760</v>
      </c>
    </row>
    <row r="24" spans="1:28" s="5" customFormat="1" x14ac:dyDescent="0.2">
      <c r="A24" s="91"/>
      <c r="B24" s="26"/>
      <c r="C24" s="26"/>
      <c r="D24" s="26"/>
      <c r="E24" s="26"/>
      <c r="F24" s="26"/>
      <c r="G24" s="26"/>
      <c r="H24" s="31"/>
      <c r="I24" s="31"/>
      <c r="J24" s="125"/>
      <c r="K24" s="26"/>
      <c r="L24" s="26"/>
      <c r="M24" s="26"/>
      <c r="N24" s="26"/>
      <c r="O24" s="26"/>
      <c r="P24" s="125"/>
      <c r="Q24" s="30"/>
      <c r="R24" s="26"/>
      <c r="S24" s="26"/>
      <c r="T24" s="26"/>
      <c r="U24" s="31"/>
      <c r="V24" s="31"/>
      <c r="W24" s="11"/>
      <c r="X24" s="26"/>
      <c r="Y24" s="26"/>
      <c r="Z24" s="26"/>
      <c r="AA24" s="11"/>
      <c r="AB24" s="10"/>
    </row>
    <row r="25" spans="1:28" hidden="1" outlineLevel="1" x14ac:dyDescent="0.2">
      <c r="A25" s="88">
        <v>5</v>
      </c>
      <c r="B25" s="32" t="s">
        <v>105</v>
      </c>
      <c r="C25" s="189">
        <v>320000</v>
      </c>
      <c r="D25" s="189">
        <v>215817</v>
      </c>
      <c r="E25" s="189">
        <v>1108884.95</v>
      </c>
      <c r="F25" s="189">
        <v>2495428.34</v>
      </c>
      <c r="G25" s="189">
        <v>0</v>
      </c>
      <c r="H25" s="189">
        <f>SUM(C25:G25)</f>
        <v>4140130.29</v>
      </c>
      <c r="I25" s="184"/>
      <c r="J25" s="125"/>
      <c r="K25" s="184"/>
      <c r="L25" s="200"/>
      <c r="M25" s="200"/>
      <c r="N25" s="200"/>
      <c r="O25" s="200"/>
      <c r="P25" s="125"/>
      <c r="Q25" s="152">
        <v>2321190.0099999998</v>
      </c>
      <c r="R25" s="152">
        <v>627158.25</v>
      </c>
      <c r="S25" s="152">
        <v>969561.5</v>
      </c>
      <c r="T25" s="152">
        <v>0</v>
      </c>
      <c r="U25" s="152">
        <f>SUM(Q25:T25)</f>
        <v>3917909.76</v>
      </c>
      <c r="V25" s="188"/>
      <c r="W25" s="125"/>
      <c r="X25" s="200"/>
      <c r="Y25" s="200"/>
      <c r="Z25" s="200"/>
      <c r="AA25" s="125"/>
      <c r="AB25" s="6">
        <f>H25-U25</f>
        <v>222220.53000000026</v>
      </c>
    </row>
    <row r="26" spans="1:28" ht="13.5" hidden="1" outlineLevel="1" thickBot="1" x14ac:dyDescent="0.25">
      <c r="A26" s="88">
        <v>5</v>
      </c>
      <c r="B26" s="32" t="s">
        <v>106</v>
      </c>
      <c r="C26" s="190">
        <v>4508211.0599999996</v>
      </c>
      <c r="D26" s="190"/>
      <c r="E26" s="190">
        <v>0</v>
      </c>
      <c r="F26" s="190">
        <v>0</v>
      </c>
      <c r="G26" s="190">
        <v>679135</v>
      </c>
      <c r="H26" s="190">
        <f>SUM(C26:G26)</f>
        <v>5187346.0599999996</v>
      </c>
      <c r="I26" s="184"/>
      <c r="J26" s="125"/>
      <c r="K26" s="184"/>
      <c r="L26" s="201"/>
      <c r="M26" s="201"/>
      <c r="N26" s="201"/>
      <c r="O26" s="201"/>
      <c r="P26" s="125"/>
      <c r="Q26" s="154">
        <v>3234741.8</v>
      </c>
      <c r="R26" s="154">
        <v>642087.06000000006</v>
      </c>
      <c r="S26" s="154">
        <v>393063.1</v>
      </c>
      <c r="T26" s="154">
        <v>0</v>
      </c>
      <c r="U26" s="154">
        <f>SUM(Q26:T26)</f>
        <v>4269891.96</v>
      </c>
      <c r="V26" s="188"/>
      <c r="W26" s="125"/>
      <c r="X26" s="201"/>
      <c r="Y26" s="201"/>
      <c r="Z26" s="201"/>
      <c r="AA26" s="125"/>
      <c r="AB26" s="62">
        <f>H26-U26</f>
        <v>917454.09999999963</v>
      </c>
    </row>
    <row r="27" spans="1:28" collapsed="1" x14ac:dyDescent="0.2">
      <c r="A27" s="40">
        <v>5</v>
      </c>
      <c r="B27" s="45" t="s">
        <v>4</v>
      </c>
      <c r="C27" s="191">
        <f t="shared" ref="C27:G27" si="7">SUM(C25:C26)</f>
        <v>4828211.0599999996</v>
      </c>
      <c r="D27" s="191">
        <f t="shared" si="7"/>
        <v>215817</v>
      </c>
      <c r="E27" s="191">
        <f t="shared" si="7"/>
        <v>1108884.95</v>
      </c>
      <c r="F27" s="191">
        <f t="shared" si="7"/>
        <v>2495428.34</v>
      </c>
      <c r="G27" s="191">
        <f t="shared" si="7"/>
        <v>679135</v>
      </c>
      <c r="H27" s="191">
        <f>SUM(C27,D27,E27,F27,G27)</f>
        <v>9327476.3499999996</v>
      </c>
      <c r="I27" s="184"/>
      <c r="J27" s="125"/>
      <c r="K27" s="200">
        <f>C27/H27</f>
        <v>0.51763316022773942</v>
      </c>
      <c r="L27" s="200">
        <f>D27/H27</f>
        <v>2.3137769735540527E-2</v>
      </c>
      <c r="M27" s="200">
        <f>E27/H27</f>
        <v>0.11888370534437216</v>
      </c>
      <c r="N27" s="200">
        <f>F27/H27</f>
        <v>0.267535209563946</v>
      </c>
      <c r="O27" s="200">
        <f>G27/H27</f>
        <v>7.2810155128401916E-2</v>
      </c>
      <c r="P27" s="125"/>
      <c r="Q27" s="155">
        <f t="shared" ref="Q27:T27" si="8">SUM(Q25:Q26)</f>
        <v>5555931.8099999996</v>
      </c>
      <c r="R27" s="155">
        <f t="shared" si="8"/>
        <v>1269245.31</v>
      </c>
      <c r="S27" s="155">
        <f t="shared" si="8"/>
        <v>1362624.6</v>
      </c>
      <c r="T27" s="155">
        <f t="shared" si="8"/>
        <v>0</v>
      </c>
      <c r="U27" s="155">
        <f>SUM(Q27,R27,S27,T27)</f>
        <v>8187801.7199999988</v>
      </c>
      <c r="V27" s="188"/>
      <c r="W27" s="125"/>
      <c r="X27" s="200">
        <f>(Q27+R27)/U27</f>
        <v>0.83357870077977414</v>
      </c>
      <c r="Y27" s="200">
        <f>S27/U27</f>
        <v>0.16642129922022589</v>
      </c>
      <c r="Z27" s="200">
        <f>T27/U27</f>
        <v>0</v>
      </c>
      <c r="AA27" s="125"/>
      <c r="AB27" s="6">
        <f>H27-U27</f>
        <v>1139674.6300000008</v>
      </c>
    </row>
    <row r="28" spans="1:28" s="5" customFormat="1" x14ac:dyDescent="0.2">
      <c r="A28" s="91"/>
      <c r="B28" s="26"/>
      <c r="C28" s="26"/>
      <c r="D28" s="26"/>
      <c r="E28" s="26"/>
      <c r="F28" s="26"/>
      <c r="G28" s="26"/>
      <c r="H28" s="31"/>
      <c r="I28" s="31"/>
      <c r="J28" s="125"/>
      <c r="K28" s="26"/>
      <c r="L28" s="26"/>
      <c r="M28" s="26"/>
      <c r="N28" s="26"/>
      <c r="O28" s="26"/>
      <c r="P28" s="125"/>
      <c r="Q28" s="30"/>
      <c r="R28" s="26"/>
      <c r="S28" s="26"/>
      <c r="T28" s="26"/>
      <c r="U28" s="31"/>
      <c r="V28" s="31"/>
      <c r="W28" s="11"/>
      <c r="X28" s="26"/>
      <c r="Y28" s="26"/>
      <c r="Z28" s="26"/>
      <c r="AA28" s="11"/>
      <c r="AB28" s="10"/>
    </row>
    <row r="29" spans="1:28" hidden="1" outlineLevel="1" x14ac:dyDescent="0.2">
      <c r="A29" s="88">
        <v>6</v>
      </c>
      <c r="B29" s="32" t="s">
        <v>108</v>
      </c>
      <c r="C29" s="189">
        <v>105980</v>
      </c>
      <c r="D29" s="189">
        <v>0</v>
      </c>
      <c r="E29" s="189">
        <v>62680</v>
      </c>
      <c r="F29" s="189">
        <v>1150695.6000000001</v>
      </c>
      <c r="G29" s="189">
        <v>288137.28999999998</v>
      </c>
      <c r="H29" s="189">
        <f>SUM(C29:G29)</f>
        <v>1607492.8900000001</v>
      </c>
      <c r="I29" s="184"/>
      <c r="J29" s="125"/>
      <c r="K29" s="200"/>
      <c r="L29" s="200"/>
      <c r="M29" s="200"/>
      <c r="N29" s="200"/>
      <c r="O29" s="200"/>
      <c r="P29" s="125"/>
      <c r="Q29" s="152">
        <v>1302685.2</v>
      </c>
      <c r="R29" s="152">
        <v>399538.67</v>
      </c>
      <c r="S29" s="152">
        <v>275597.05</v>
      </c>
      <c r="T29" s="152">
        <v>44131.67</v>
      </c>
      <c r="U29" s="152">
        <f>SUM(Q29:T29)</f>
        <v>2021952.5899999999</v>
      </c>
      <c r="V29" s="188"/>
      <c r="W29" s="125"/>
      <c r="X29" s="200"/>
      <c r="Y29" s="200"/>
      <c r="Z29" s="200"/>
      <c r="AA29" s="125"/>
      <c r="AB29" s="6">
        <f>H29-U29</f>
        <v>-414459.69999999972</v>
      </c>
    </row>
    <row r="30" spans="1:28" hidden="1" outlineLevel="1" x14ac:dyDescent="0.2">
      <c r="A30" s="88">
        <v>6</v>
      </c>
      <c r="B30" s="32" t="s">
        <v>109</v>
      </c>
      <c r="C30" s="189">
        <v>77000</v>
      </c>
      <c r="D30" s="189">
        <v>0</v>
      </c>
      <c r="E30" s="189">
        <v>15055</v>
      </c>
      <c r="F30" s="189">
        <v>0</v>
      </c>
      <c r="G30" s="189">
        <v>0</v>
      </c>
      <c r="H30" s="189">
        <f>SUM(C30:G30)</f>
        <v>92055</v>
      </c>
      <c r="I30" s="184"/>
      <c r="J30" s="125"/>
      <c r="K30" s="200"/>
      <c r="L30" s="200"/>
      <c r="M30" s="200"/>
      <c r="N30" s="200"/>
      <c r="O30" s="200"/>
      <c r="P30" s="125"/>
      <c r="Q30" s="152">
        <v>0</v>
      </c>
      <c r="R30" s="152">
        <v>0</v>
      </c>
      <c r="S30" s="152">
        <v>0</v>
      </c>
      <c r="T30" s="152">
        <v>0</v>
      </c>
      <c r="U30" s="152">
        <f>SUM(Q30:T30)</f>
        <v>0</v>
      </c>
      <c r="V30" s="188"/>
      <c r="W30" s="125"/>
      <c r="X30" s="200"/>
      <c r="Y30" s="200"/>
      <c r="Z30" s="200"/>
      <c r="AA30" s="125"/>
      <c r="AB30" s="6">
        <f>H30-U30</f>
        <v>92055</v>
      </c>
    </row>
    <row r="31" spans="1:28" ht="13.5" hidden="1" outlineLevel="1" thickBot="1" x14ac:dyDescent="0.25">
      <c r="A31" s="88">
        <v>6</v>
      </c>
      <c r="B31" s="32" t="s">
        <v>110</v>
      </c>
      <c r="C31" s="190">
        <v>343985</v>
      </c>
      <c r="D31" s="190">
        <v>0</v>
      </c>
      <c r="E31" s="190">
        <v>54424.7</v>
      </c>
      <c r="F31" s="190">
        <v>0</v>
      </c>
      <c r="G31" s="190">
        <v>0</v>
      </c>
      <c r="H31" s="190">
        <f>SUM(C31:G31)</f>
        <v>398409.7</v>
      </c>
      <c r="I31" s="184"/>
      <c r="J31" s="125"/>
      <c r="K31" s="201"/>
      <c r="L31" s="201"/>
      <c r="M31" s="201"/>
      <c r="N31" s="201"/>
      <c r="O31" s="201"/>
      <c r="P31" s="125"/>
      <c r="Q31" s="154">
        <v>0</v>
      </c>
      <c r="R31" s="154">
        <v>0</v>
      </c>
      <c r="S31" s="154">
        <v>0</v>
      </c>
      <c r="T31" s="154">
        <v>0</v>
      </c>
      <c r="U31" s="154">
        <f>SUM(Q31:T31)</f>
        <v>0</v>
      </c>
      <c r="V31" s="188"/>
      <c r="W31" s="125"/>
      <c r="X31" s="201"/>
      <c r="Y31" s="201"/>
      <c r="Z31" s="201"/>
      <c r="AA31" s="125"/>
      <c r="AB31" s="62">
        <f>H31-U31</f>
        <v>398409.7</v>
      </c>
    </row>
    <row r="32" spans="1:28" ht="63.75" collapsed="1" x14ac:dyDescent="0.2">
      <c r="A32" s="40">
        <v>6</v>
      </c>
      <c r="B32" s="45" t="s">
        <v>4</v>
      </c>
      <c r="C32" s="191">
        <f t="shared" ref="C32:G32" si="9">SUM(C29:C31)</f>
        <v>526965</v>
      </c>
      <c r="D32" s="191">
        <f t="shared" si="9"/>
        <v>0</v>
      </c>
      <c r="E32" s="191">
        <f t="shared" si="9"/>
        <v>132159.70000000001</v>
      </c>
      <c r="F32" s="191">
        <f t="shared" si="9"/>
        <v>1150695.6000000001</v>
      </c>
      <c r="G32" s="191">
        <f t="shared" si="9"/>
        <v>288137.28999999998</v>
      </c>
      <c r="H32" s="191">
        <f>SUM(C32,D32,E32,F32,G32)</f>
        <v>2097957.59</v>
      </c>
      <c r="I32" s="184"/>
      <c r="J32" s="125"/>
      <c r="K32" s="200">
        <f>C32/H32</f>
        <v>0.25118000597905321</v>
      </c>
      <c r="L32" s="200">
        <f>D32/H32</f>
        <v>0</v>
      </c>
      <c r="M32" s="200">
        <f>E32/H32</f>
        <v>6.2994457385575658E-2</v>
      </c>
      <c r="N32" s="200">
        <f>F32/H32</f>
        <v>0.54848372792893307</v>
      </c>
      <c r="O32" s="200">
        <f>G32/H32</f>
        <v>0.13734180870643814</v>
      </c>
      <c r="P32" s="125"/>
      <c r="Q32" s="155">
        <f t="shared" ref="Q32:T32" si="10">SUM(Q29:Q31)</f>
        <v>1302685.2</v>
      </c>
      <c r="R32" s="155">
        <f t="shared" si="10"/>
        <v>399538.67</v>
      </c>
      <c r="S32" s="155">
        <f t="shared" si="10"/>
        <v>275597.05</v>
      </c>
      <c r="T32" s="155">
        <f t="shared" si="10"/>
        <v>44131.67</v>
      </c>
      <c r="U32" s="155">
        <f>SUM(Q32,R32,S32,T32)</f>
        <v>2021952.5899999999</v>
      </c>
      <c r="V32" s="43" t="s">
        <v>59</v>
      </c>
      <c r="W32" s="125"/>
      <c r="X32" s="200">
        <f>(Q32+R32)/U32</f>
        <v>0.84187130718035286</v>
      </c>
      <c r="Y32" s="200">
        <f>S32/U32</f>
        <v>0.13630242932649572</v>
      </c>
      <c r="Z32" s="200">
        <f>T32/U32</f>
        <v>2.1826263493151438E-2</v>
      </c>
      <c r="AA32" s="125"/>
      <c r="AB32" s="6">
        <f>H32-U32</f>
        <v>76005</v>
      </c>
    </row>
    <row r="33" spans="1:28" s="5" customFormat="1" x14ac:dyDescent="0.2">
      <c r="A33" s="91"/>
      <c r="B33" s="26"/>
      <c r="C33" s="26"/>
      <c r="D33" s="26"/>
      <c r="E33" s="26"/>
      <c r="F33" s="26"/>
      <c r="G33" s="26"/>
      <c r="H33" s="31"/>
      <c r="I33" s="31"/>
      <c r="J33" s="125"/>
      <c r="K33" s="26"/>
      <c r="L33" s="26"/>
      <c r="M33" s="26"/>
      <c r="N33" s="26"/>
      <c r="O33" s="26"/>
      <c r="P33" s="125"/>
      <c r="Q33" s="30"/>
      <c r="R33" s="26"/>
      <c r="S33" s="26"/>
      <c r="T33" s="26"/>
      <c r="U33" s="31"/>
      <c r="V33" s="31"/>
      <c r="W33" s="11"/>
      <c r="X33" s="26"/>
      <c r="Y33" s="26"/>
      <c r="Z33" s="26"/>
      <c r="AA33" s="11"/>
      <c r="AB33" s="10"/>
    </row>
    <row r="34" spans="1:28" hidden="1" outlineLevel="1" x14ac:dyDescent="0.2">
      <c r="A34" s="88">
        <v>7</v>
      </c>
      <c r="B34" s="32" t="s">
        <v>111</v>
      </c>
      <c r="C34" s="189">
        <v>60000</v>
      </c>
      <c r="D34" s="189">
        <v>0</v>
      </c>
      <c r="E34" s="189">
        <v>0</v>
      </c>
      <c r="F34" s="189">
        <v>0</v>
      </c>
      <c r="G34" s="189"/>
      <c r="H34" s="189">
        <f>SUM(C34:G34)</f>
        <v>60000</v>
      </c>
      <c r="I34" s="184"/>
      <c r="J34" s="125"/>
      <c r="K34" s="200"/>
      <c r="L34" s="200"/>
      <c r="M34" s="200"/>
      <c r="N34" s="200"/>
      <c r="O34" s="200"/>
      <c r="P34" s="125"/>
      <c r="Q34" s="152">
        <v>47463</v>
      </c>
      <c r="R34" s="152">
        <v>21566.68</v>
      </c>
      <c r="S34" s="152">
        <v>11810.06</v>
      </c>
      <c r="T34" s="152">
        <v>0</v>
      </c>
      <c r="U34" s="152">
        <f>SUM(Q34:T34)</f>
        <v>80839.739999999991</v>
      </c>
      <c r="V34" s="188"/>
      <c r="W34" s="125"/>
      <c r="X34" s="200"/>
      <c r="Y34" s="200"/>
      <c r="Z34" s="200"/>
      <c r="AA34" s="125"/>
      <c r="AB34" s="6">
        <f>H34-U34</f>
        <v>-20839.739999999991</v>
      </c>
    </row>
    <row r="35" spans="1:28" ht="153.75" hidden="1" outlineLevel="1" thickBot="1" x14ac:dyDescent="0.25">
      <c r="A35" s="88">
        <v>7</v>
      </c>
      <c r="B35" s="32" t="s">
        <v>112</v>
      </c>
      <c r="C35" s="190">
        <v>175000</v>
      </c>
      <c r="D35" s="190">
        <v>0</v>
      </c>
      <c r="E35" s="190">
        <v>0</v>
      </c>
      <c r="F35" s="190">
        <v>2290316.2400000002</v>
      </c>
      <c r="G35" s="190">
        <v>60000</v>
      </c>
      <c r="H35" s="190">
        <f>SUM(C35:G35)</f>
        <v>2525316.2400000002</v>
      </c>
      <c r="I35" s="188" t="s">
        <v>171</v>
      </c>
      <c r="J35" s="125"/>
      <c r="K35" s="201"/>
      <c r="L35" s="201"/>
      <c r="M35" s="201"/>
      <c r="N35" s="201"/>
      <c r="O35" s="201"/>
      <c r="P35" s="125"/>
      <c r="Q35" s="154">
        <v>3636288.77</v>
      </c>
      <c r="R35" s="154">
        <v>1204106.74</v>
      </c>
      <c r="S35" s="154">
        <v>620629.31999999995</v>
      </c>
      <c r="T35" s="154"/>
      <c r="U35" s="154">
        <f>SUM(Q35:T35)</f>
        <v>5461024.8300000001</v>
      </c>
      <c r="V35" s="188"/>
      <c r="W35" s="125"/>
      <c r="X35" s="201"/>
      <c r="Y35" s="201"/>
      <c r="Z35" s="201"/>
      <c r="AA35" s="125"/>
      <c r="AB35" s="62">
        <f>H35-U35</f>
        <v>-2935708.59</v>
      </c>
    </row>
    <row r="36" spans="1:28" collapsed="1" x14ac:dyDescent="0.2">
      <c r="A36" s="40">
        <v>7</v>
      </c>
      <c r="B36" s="45" t="s">
        <v>4</v>
      </c>
      <c r="C36" s="191">
        <f t="shared" ref="C36:G36" si="11">SUM(C34:C35)</f>
        <v>235000</v>
      </c>
      <c r="D36" s="191">
        <f t="shared" si="11"/>
        <v>0</v>
      </c>
      <c r="E36" s="191"/>
      <c r="F36" s="191">
        <f t="shared" si="11"/>
        <v>2290316.2400000002</v>
      </c>
      <c r="G36" s="191">
        <f t="shared" si="11"/>
        <v>60000</v>
      </c>
      <c r="H36" s="191">
        <f>SUM(C36,D36,E36,F36,G36)</f>
        <v>2585316.2400000002</v>
      </c>
      <c r="I36" s="184"/>
      <c r="J36" s="125"/>
      <c r="K36" s="200">
        <f>C36/H36</f>
        <v>9.0897970764303865E-2</v>
      </c>
      <c r="L36" s="200">
        <f>D36/H36</f>
        <v>0</v>
      </c>
      <c r="M36" s="200">
        <f>E36/H36</f>
        <v>0</v>
      </c>
      <c r="N36" s="200">
        <f>F36/H36</f>
        <v>0.88589403670012923</v>
      </c>
      <c r="O36" s="200">
        <f>G36/H36</f>
        <v>2.3207992535566942E-2</v>
      </c>
      <c r="P36" s="125"/>
      <c r="Q36" s="155">
        <f t="shared" ref="Q36:T36" si="12">SUM(Q34:Q35)</f>
        <v>3683751.77</v>
      </c>
      <c r="R36" s="155">
        <f t="shared" si="12"/>
        <v>1225673.42</v>
      </c>
      <c r="S36" s="155">
        <f t="shared" si="12"/>
        <v>632439.38</v>
      </c>
      <c r="T36" s="155">
        <f t="shared" si="12"/>
        <v>0</v>
      </c>
      <c r="U36" s="155">
        <f>SUM(Q36,R36,S36,T36)</f>
        <v>5541864.5699999994</v>
      </c>
      <c r="V36" s="188"/>
      <c r="W36" s="125"/>
      <c r="X36" s="200">
        <f>(Q36+R36)/U36</f>
        <v>0.88587967605278384</v>
      </c>
      <c r="Y36" s="200">
        <f>S36/U36</f>
        <v>0.11412032394721622</v>
      </c>
      <c r="Z36" s="200">
        <f>T36/U36</f>
        <v>0</v>
      </c>
      <c r="AA36" s="125"/>
      <c r="AB36" s="6">
        <f>H36-U36</f>
        <v>-2956548.3299999991</v>
      </c>
    </row>
    <row r="37" spans="1:28" s="5" customFormat="1" x14ac:dyDescent="0.2">
      <c r="A37" s="91"/>
      <c r="B37" s="26"/>
      <c r="C37" s="26"/>
      <c r="D37" s="26"/>
      <c r="E37" s="26"/>
      <c r="F37" s="26"/>
      <c r="G37" s="26"/>
      <c r="H37" s="31"/>
      <c r="I37" s="31"/>
      <c r="J37" s="125"/>
      <c r="K37" s="26"/>
      <c r="L37" s="26"/>
      <c r="M37" s="26"/>
      <c r="N37" s="26"/>
      <c r="O37" s="26"/>
      <c r="P37" s="125"/>
      <c r="Q37" s="30"/>
      <c r="R37" s="26"/>
      <c r="S37" s="26"/>
      <c r="T37" s="26"/>
      <c r="U37" s="31"/>
      <c r="V37" s="31"/>
      <c r="W37" s="11"/>
      <c r="X37" s="26"/>
      <c r="Y37" s="26"/>
      <c r="Z37" s="26"/>
      <c r="AA37" s="11"/>
      <c r="AB37" s="10"/>
    </row>
    <row r="38" spans="1:28" hidden="1" outlineLevel="1" x14ac:dyDescent="0.2">
      <c r="A38" s="88">
        <v>8</v>
      </c>
      <c r="B38" s="32" t="s">
        <v>113</v>
      </c>
      <c r="C38" s="189">
        <v>41200</v>
      </c>
      <c r="D38" s="189">
        <v>0</v>
      </c>
      <c r="E38" s="189">
        <v>0</v>
      </c>
      <c r="F38" s="189">
        <v>0</v>
      </c>
      <c r="G38" s="189">
        <v>0</v>
      </c>
      <c r="H38" s="189">
        <f>SUM(C38:G38)</f>
        <v>41200</v>
      </c>
      <c r="I38" s="184"/>
      <c r="J38" s="125"/>
      <c r="K38" s="200"/>
      <c r="L38" s="200"/>
      <c r="M38" s="200"/>
      <c r="N38" s="200"/>
      <c r="O38" s="200"/>
      <c r="P38" s="125"/>
      <c r="Q38" s="152">
        <v>0</v>
      </c>
      <c r="R38" s="152">
        <v>0</v>
      </c>
      <c r="S38" s="152">
        <v>0</v>
      </c>
      <c r="T38" s="152">
        <v>0</v>
      </c>
      <c r="U38" s="152">
        <f>SUM(Q38:T38)</f>
        <v>0</v>
      </c>
      <c r="V38" s="188"/>
      <c r="W38" s="125"/>
      <c r="X38" s="200"/>
      <c r="Y38" s="200"/>
      <c r="Z38" s="200"/>
      <c r="AA38" s="125"/>
      <c r="AB38" s="6"/>
    </row>
    <row r="39" spans="1:28" ht="38.25" hidden="1" outlineLevel="1" x14ac:dyDescent="0.2">
      <c r="A39" s="88">
        <v>8</v>
      </c>
      <c r="B39" s="32" t="s">
        <v>114</v>
      </c>
      <c r="C39" s="189">
        <v>357438</v>
      </c>
      <c r="D39" s="189">
        <v>0</v>
      </c>
      <c r="E39" s="189">
        <v>340751.15</v>
      </c>
      <c r="F39" s="189">
        <v>1689518.5</v>
      </c>
      <c r="G39" s="189">
        <v>241878</v>
      </c>
      <c r="H39" s="189">
        <f>SUM(C39:G39)</f>
        <v>2629585.65</v>
      </c>
      <c r="I39" s="184"/>
      <c r="J39" s="125"/>
      <c r="K39" s="200"/>
      <c r="L39" s="200"/>
      <c r="M39" s="200"/>
      <c r="N39" s="200"/>
      <c r="O39" s="200"/>
      <c r="P39" s="125"/>
      <c r="Q39" s="152">
        <v>2380447.2400000002</v>
      </c>
      <c r="R39" s="152">
        <v>0</v>
      </c>
      <c r="S39" s="152">
        <v>312258</v>
      </c>
      <c r="T39" s="152">
        <v>0</v>
      </c>
      <c r="U39" s="152">
        <f>SUM(Q39:T39)</f>
        <v>2692705.24</v>
      </c>
      <c r="V39" s="188" t="s">
        <v>60</v>
      </c>
      <c r="W39" s="125"/>
      <c r="X39" s="200"/>
      <c r="Y39" s="200"/>
      <c r="Z39" s="200"/>
      <c r="AA39" s="125"/>
      <c r="AB39" s="6">
        <f>H39-U39</f>
        <v>-63119.590000000317</v>
      </c>
    </row>
    <row r="40" spans="1:28" hidden="1" outlineLevel="1" x14ac:dyDescent="0.2">
      <c r="A40" s="88">
        <v>8</v>
      </c>
      <c r="B40" s="32" t="s">
        <v>115</v>
      </c>
      <c r="C40" s="189">
        <v>262000</v>
      </c>
      <c r="D40" s="189">
        <v>0</v>
      </c>
      <c r="E40" s="189">
        <v>0</v>
      </c>
      <c r="F40" s="189">
        <v>0</v>
      </c>
      <c r="G40" s="189">
        <v>0</v>
      </c>
      <c r="H40" s="189">
        <f>SUM(C40:G40)</f>
        <v>262000</v>
      </c>
      <c r="I40" s="184"/>
      <c r="J40" s="125"/>
      <c r="K40" s="200"/>
      <c r="L40" s="200"/>
      <c r="M40" s="200"/>
      <c r="N40" s="200"/>
      <c r="O40" s="200"/>
      <c r="P40" s="125"/>
      <c r="Q40" s="152">
        <v>0</v>
      </c>
      <c r="R40" s="152">
        <v>0</v>
      </c>
      <c r="S40" s="152">
        <v>0</v>
      </c>
      <c r="T40" s="152">
        <v>0</v>
      </c>
      <c r="U40" s="152">
        <f>SUM(Q40:T40)</f>
        <v>0</v>
      </c>
      <c r="V40" s="188"/>
      <c r="W40" s="125"/>
      <c r="X40" s="200"/>
      <c r="Y40" s="200"/>
      <c r="Z40" s="200"/>
      <c r="AA40" s="125"/>
      <c r="AB40" s="6"/>
    </row>
    <row r="41" spans="1:28" ht="13.5" hidden="1" outlineLevel="1" thickBot="1" x14ac:dyDescent="0.25">
      <c r="A41" s="88">
        <v>8</v>
      </c>
      <c r="B41" s="32" t="s">
        <v>116</v>
      </c>
      <c r="C41" s="190">
        <v>121867</v>
      </c>
      <c r="D41" s="190">
        <v>0</v>
      </c>
      <c r="E41" s="190">
        <v>0</v>
      </c>
      <c r="F41" s="190">
        <v>0</v>
      </c>
      <c r="G41" s="190">
        <v>0</v>
      </c>
      <c r="H41" s="190">
        <f>SUM(C41:G41)</f>
        <v>121867</v>
      </c>
      <c r="I41" s="184"/>
      <c r="J41" s="125"/>
      <c r="K41" s="201"/>
      <c r="L41" s="201"/>
      <c r="M41" s="201"/>
      <c r="N41" s="201"/>
      <c r="O41" s="201"/>
      <c r="P41" s="125"/>
      <c r="Q41" s="154">
        <v>0</v>
      </c>
      <c r="R41" s="154">
        <v>0</v>
      </c>
      <c r="S41" s="154">
        <v>0</v>
      </c>
      <c r="T41" s="154">
        <v>0</v>
      </c>
      <c r="U41" s="154">
        <f>SUM(Q41:T41)</f>
        <v>0</v>
      </c>
      <c r="V41" s="188"/>
      <c r="W41" s="125"/>
      <c r="X41" s="201"/>
      <c r="Y41" s="201"/>
      <c r="Z41" s="201"/>
      <c r="AA41" s="125"/>
      <c r="AB41" s="62"/>
    </row>
    <row r="42" spans="1:28" collapsed="1" x14ac:dyDescent="0.2">
      <c r="A42" s="40">
        <v>8</v>
      </c>
      <c r="B42" s="45" t="s">
        <v>4</v>
      </c>
      <c r="C42" s="191">
        <f t="shared" ref="C42:G42" si="13">SUM(C38:C41)</f>
        <v>782505</v>
      </c>
      <c r="D42" s="191">
        <f t="shared" si="13"/>
        <v>0</v>
      </c>
      <c r="E42" s="191">
        <f t="shared" si="13"/>
        <v>340751.15</v>
      </c>
      <c r="F42" s="191">
        <f t="shared" si="13"/>
        <v>1689518.5</v>
      </c>
      <c r="G42" s="191">
        <f t="shared" si="13"/>
        <v>241878</v>
      </c>
      <c r="H42" s="191">
        <f>SUM(C42,D42,E42,F42,G42)</f>
        <v>3054652.65</v>
      </c>
      <c r="I42" s="184"/>
      <c r="J42" s="125"/>
      <c r="K42" s="200">
        <f>C42/H42</f>
        <v>0.25616824223860607</v>
      </c>
      <c r="L42" s="200">
        <f>D42/H42</f>
        <v>0</v>
      </c>
      <c r="M42" s="200">
        <f>E42/H42</f>
        <v>0.11155152125070589</v>
      </c>
      <c r="N42" s="200">
        <f>F42/H42</f>
        <v>0.55309676535562891</v>
      </c>
      <c r="O42" s="200">
        <f>G42/H42</f>
        <v>7.9183471155059151E-2</v>
      </c>
      <c r="P42" s="125"/>
      <c r="Q42" s="155">
        <f t="shared" ref="Q42:T42" si="14">SUM(Q38:Q41)</f>
        <v>2380447.2400000002</v>
      </c>
      <c r="R42" s="155">
        <f t="shared" si="14"/>
        <v>0</v>
      </c>
      <c r="S42" s="155">
        <f t="shared" si="14"/>
        <v>312258</v>
      </c>
      <c r="T42" s="155">
        <f t="shared" si="14"/>
        <v>0</v>
      </c>
      <c r="U42" s="155">
        <f>SUM(Q42,R42,S42,T42)</f>
        <v>2692705.24</v>
      </c>
      <c r="V42" s="188"/>
      <c r="W42" s="125"/>
      <c r="X42" s="200">
        <f>(Q42+R42)/U42</f>
        <v>0.88403558051530362</v>
      </c>
      <c r="Y42" s="200">
        <f>S42/U42</f>
        <v>0.11596441948469635</v>
      </c>
      <c r="Z42" s="200">
        <f>T42/U42</f>
        <v>0</v>
      </c>
      <c r="AA42" s="125"/>
      <c r="AB42" s="6">
        <f>H42-U42</f>
        <v>361947.40999999968</v>
      </c>
    </row>
    <row r="43" spans="1:28" s="5" customFormat="1" x14ac:dyDescent="0.2">
      <c r="A43" s="91"/>
      <c r="B43" s="26"/>
      <c r="C43" s="26"/>
      <c r="D43" s="26"/>
      <c r="E43" s="26"/>
      <c r="F43" s="26"/>
      <c r="G43" s="26"/>
      <c r="H43" s="31"/>
      <c r="I43" s="31"/>
      <c r="J43" s="125"/>
      <c r="K43" s="26"/>
      <c r="L43" s="26"/>
      <c r="M43" s="26"/>
      <c r="N43" s="26"/>
      <c r="O43" s="26"/>
      <c r="P43" s="125"/>
      <c r="Q43" s="30"/>
      <c r="R43" s="26"/>
      <c r="S43" s="26"/>
      <c r="T43" s="26"/>
      <c r="U43" s="31"/>
      <c r="V43" s="31"/>
      <c r="W43" s="11"/>
      <c r="X43" s="26"/>
      <c r="Y43" s="26"/>
      <c r="Z43" s="26"/>
      <c r="AA43" s="11"/>
      <c r="AB43" s="10"/>
    </row>
    <row r="44" spans="1:28" s="29" customFormat="1" hidden="1" outlineLevel="1" x14ac:dyDescent="0.2">
      <c r="A44" s="88">
        <v>9</v>
      </c>
      <c r="B44" s="32" t="s">
        <v>118</v>
      </c>
      <c r="C44" s="189">
        <v>1446610.66</v>
      </c>
      <c r="D44" s="189">
        <v>0</v>
      </c>
      <c r="E44" s="189">
        <v>166352.51999999999</v>
      </c>
      <c r="F44" s="189">
        <v>227233.09</v>
      </c>
      <c r="G44" s="189">
        <v>0</v>
      </c>
      <c r="H44" s="189">
        <f>SUM(C44:G44)</f>
        <v>1840196.27</v>
      </c>
      <c r="I44" s="184"/>
      <c r="J44" s="125"/>
      <c r="K44" s="200"/>
      <c r="L44" s="200"/>
      <c r="M44" s="200"/>
      <c r="N44" s="200"/>
      <c r="O44" s="200"/>
      <c r="P44" s="125"/>
      <c r="Q44" s="152">
        <v>1223826.2</v>
      </c>
      <c r="R44" s="152">
        <v>466658.13</v>
      </c>
      <c r="S44" s="152">
        <v>73578.52</v>
      </c>
      <c r="T44" s="152">
        <v>227233.09</v>
      </c>
      <c r="U44" s="152">
        <f>SUM(Q44:T44)</f>
        <v>1991295.9400000002</v>
      </c>
      <c r="V44" s="188"/>
      <c r="W44" s="125"/>
      <c r="X44" s="200"/>
      <c r="Y44" s="200"/>
      <c r="Z44" s="200"/>
      <c r="AA44" s="125"/>
      <c r="AB44" s="6">
        <f>H44-U44</f>
        <v>-151099.67000000016</v>
      </c>
    </row>
    <row r="45" spans="1:28" s="29" customFormat="1" ht="13.5" hidden="1" outlineLevel="1" thickBot="1" x14ac:dyDescent="0.25">
      <c r="A45" s="88">
        <v>9</v>
      </c>
      <c r="B45" s="32" t="s">
        <v>119</v>
      </c>
      <c r="C45" s="190">
        <v>5817221.1600000001</v>
      </c>
      <c r="D45" s="190">
        <v>4115.6400000000003</v>
      </c>
      <c r="E45" s="190">
        <v>730991.84</v>
      </c>
      <c r="F45" s="190">
        <v>2517520.8199999998</v>
      </c>
      <c r="G45" s="190">
        <v>670247</v>
      </c>
      <c r="H45" s="190">
        <f>SUM(C45:G45)</f>
        <v>9740096.459999999</v>
      </c>
      <c r="I45" s="184"/>
      <c r="J45" s="125"/>
      <c r="K45" s="201"/>
      <c r="L45" s="201"/>
      <c r="M45" s="201"/>
      <c r="N45" s="201"/>
      <c r="O45" s="201"/>
      <c r="P45" s="125"/>
      <c r="Q45" s="154">
        <v>6021926.3099999996</v>
      </c>
      <c r="R45" s="154">
        <v>2359603.79</v>
      </c>
      <c r="S45" s="154">
        <v>739295.92</v>
      </c>
      <c r="T45" s="154">
        <v>0</v>
      </c>
      <c r="U45" s="154">
        <f>SUM(Q45:T45)</f>
        <v>9120826.0199999996</v>
      </c>
      <c r="V45" s="188"/>
      <c r="W45" s="125"/>
      <c r="X45" s="201"/>
      <c r="Y45" s="201"/>
      <c r="Z45" s="201"/>
      <c r="AA45" s="125"/>
      <c r="AB45" s="62">
        <f>H45-U45</f>
        <v>619270.43999999948</v>
      </c>
    </row>
    <row r="46" spans="1:28" collapsed="1" x14ac:dyDescent="0.2">
      <c r="A46" s="40">
        <v>9</v>
      </c>
      <c r="B46" s="40" t="s">
        <v>4</v>
      </c>
      <c r="C46" s="191">
        <f t="shared" ref="C46:G46" si="15">SUM(C44:C45)</f>
        <v>7263831.8200000003</v>
      </c>
      <c r="D46" s="191">
        <f t="shared" si="15"/>
        <v>4115.6400000000003</v>
      </c>
      <c r="E46" s="191">
        <f t="shared" si="15"/>
        <v>897344.36</v>
      </c>
      <c r="F46" s="191">
        <f t="shared" si="15"/>
        <v>2744753.9099999997</v>
      </c>
      <c r="G46" s="191">
        <f t="shared" si="15"/>
        <v>670247</v>
      </c>
      <c r="H46" s="191">
        <f>SUM(C46,D46,E46,F46,G46)</f>
        <v>11580292.73</v>
      </c>
      <c r="I46" s="184"/>
      <c r="J46" s="125"/>
      <c r="K46" s="200">
        <f>C46/H46</f>
        <v>0.62725804859684231</v>
      </c>
      <c r="L46" s="200">
        <f>D46/H46</f>
        <v>3.5540034228478436E-4</v>
      </c>
      <c r="M46" s="200">
        <f>E46/H46</f>
        <v>7.7488918537899507E-2</v>
      </c>
      <c r="N46" s="200">
        <f>F46/H46</f>
        <v>0.23701938923265886</v>
      </c>
      <c r="O46" s="200">
        <f>G46/H46</f>
        <v>5.7878243290314477E-2</v>
      </c>
      <c r="P46" s="125"/>
      <c r="Q46" s="155">
        <f t="shared" ref="Q46:T46" si="16">SUM(Q44:Q45)</f>
        <v>7245752.5099999998</v>
      </c>
      <c r="R46" s="155">
        <f t="shared" si="16"/>
        <v>2826261.92</v>
      </c>
      <c r="S46" s="155">
        <f t="shared" si="16"/>
        <v>812874.44000000006</v>
      </c>
      <c r="T46" s="155">
        <f t="shared" si="16"/>
        <v>227233.09</v>
      </c>
      <c r="U46" s="155">
        <f>SUM(Q46,R46,S46,T46)</f>
        <v>11112121.959999999</v>
      </c>
      <c r="V46" s="188"/>
      <c r="W46" s="125"/>
      <c r="X46" s="200">
        <f>(Q46+R46)/U46</f>
        <v>0.9063988377967731</v>
      </c>
      <c r="Y46" s="200">
        <f>S46/U46</f>
        <v>7.3152044490339643E-2</v>
      </c>
      <c r="Z46" s="200">
        <f>T46/U46</f>
        <v>2.0449117712887308E-2</v>
      </c>
      <c r="AA46" s="125"/>
      <c r="AB46" s="6">
        <f>H46-U46</f>
        <v>468170.77000000142</v>
      </c>
    </row>
    <row r="47" spans="1:28" x14ac:dyDescent="0.2">
      <c r="A47" s="90"/>
      <c r="B47" s="72"/>
      <c r="C47" s="26"/>
      <c r="D47" s="26"/>
      <c r="E47" s="26"/>
      <c r="F47" s="26"/>
      <c r="G47" s="26"/>
      <c r="H47" s="31"/>
      <c r="I47" s="31"/>
      <c r="J47" s="125"/>
      <c r="K47" s="26"/>
      <c r="L47" s="26"/>
      <c r="M47" s="26"/>
      <c r="N47" s="26"/>
      <c r="O47" s="26"/>
      <c r="P47" s="125"/>
      <c r="Q47" s="30"/>
      <c r="R47" s="26"/>
      <c r="S47" s="26"/>
      <c r="T47" s="26"/>
      <c r="U47" s="31"/>
      <c r="V47" s="31"/>
      <c r="W47" s="125"/>
      <c r="X47" s="26"/>
      <c r="Y47" s="26"/>
      <c r="Z47" s="26"/>
      <c r="AA47" s="125"/>
      <c r="AB47" s="10"/>
    </row>
    <row r="48" spans="1:28" hidden="1" outlineLevel="1" x14ac:dyDescent="0.2">
      <c r="A48" s="88">
        <v>10</v>
      </c>
      <c r="B48" s="32" t="s">
        <v>120</v>
      </c>
      <c r="C48" s="189">
        <v>1636636</v>
      </c>
      <c r="D48" s="189">
        <v>0</v>
      </c>
      <c r="E48" s="189">
        <v>294506</v>
      </c>
      <c r="F48" s="189">
        <v>1565473</v>
      </c>
      <c r="G48" s="189">
        <v>0</v>
      </c>
      <c r="H48" s="189">
        <f>SUM(C48:G48)</f>
        <v>3496615</v>
      </c>
      <c r="I48" s="184"/>
      <c r="J48" s="125"/>
      <c r="K48" s="200"/>
      <c r="L48" s="200"/>
      <c r="M48" s="200"/>
      <c r="N48" s="200"/>
      <c r="O48" s="200"/>
      <c r="P48" s="125"/>
      <c r="Q48" s="152">
        <v>2458210</v>
      </c>
      <c r="R48" s="152">
        <v>970730</v>
      </c>
      <c r="S48" s="152">
        <v>580045</v>
      </c>
      <c r="T48" s="152">
        <v>0</v>
      </c>
      <c r="U48" s="152">
        <f>SUM(Q48:T48)</f>
        <v>4008985</v>
      </c>
      <c r="V48" s="188"/>
      <c r="W48" s="125"/>
      <c r="X48" s="200"/>
      <c r="Y48" s="200"/>
      <c r="Z48" s="200"/>
      <c r="AA48" s="125"/>
      <c r="AB48" s="6">
        <f>H48-U48</f>
        <v>-512370</v>
      </c>
    </row>
    <row r="49" spans="1:28" ht="13.5" hidden="1" outlineLevel="1" thickBot="1" x14ac:dyDescent="0.25">
      <c r="A49" s="88">
        <v>10</v>
      </c>
      <c r="B49" s="32" t="s">
        <v>121</v>
      </c>
      <c r="C49" s="190">
        <v>752947</v>
      </c>
      <c r="D49" s="190">
        <v>0</v>
      </c>
      <c r="E49" s="190">
        <v>116381</v>
      </c>
      <c r="F49" s="190">
        <v>0</v>
      </c>
      <c r="G49" s="190">
        <v>0</v>
      </c>
      <c r="H49" s="190">
        <f>SUM(C49:G49)</f>
        <v>869328</v>
      </c>
      <c r="I49" s="184"/>
      <c r="J49" s="125"/>
      <c r="K49" s="201"/>
      <c r="L49" s="201"/>
      <c r="M49" s="201"/>
      <c r="N49" s="201"/>
      <c r="O49" s="201"/>
      <c r="P49" s="125"/>
      <c r="Q49" s="154">
        <v>565739</v>
      </c>
      <c r="R49" s="154">
        <v>232274</v>
      </c>
      <c r="S49" s="154">
        <v>129980</v>
      </c>
      <c r="T49" s="154">
        <v>0</v>
      </c>
      <c r="U49" s="154">
        <f>SUM(Q49:T49)</f>
        <v>927993</v>
      </c>
      <c r="V49" s="188"/>
      <c r="W49" s="125"/>
      <c r="X49" s="201"/>
      <c r="Y49" s="201"/>
      <c r="Z49" s="201"/>
      <c r="AA49" s="125"/>
      <c r="AB49" s="62">
        <f>H49-U49</f>
        <v>-58665</v>
      </c>
    </row>
    <row r="50" spans="1:28" collapsed="1" x14ac:dyDescent="0.2">
      <c r="A50" s="40">
        <v>10</v>
      </c>
      <c r="B50" s="45" t="s">
        <v>4</v>
      </c>
      <c r="C50" s="191">
        <f t="shared" ref="C50:G50" si="17">SUM(C48:C49)</f>
        <v>2389583</v>
      </c>
      <c r="D50" s="191">
        <f t="shared" si="17"/>
        <v>0</v>
      </c>
      <c r="E50" s="191">
        <f t="shared" si="17"/>
        <v>410887</v>
      </c>
      <c r="F50" s="191">
        <f t="shared" si="17"/>
        <v>1565473</v>
      </c>
      <c r="G50" s="191">
        <f t="shared" si="17"/>
        <v>0</v>
      </c>
      <c r="H50" s="191">
        <f>SUM(C50,D50,E50,F50,G50)</f>
        <v>4365943</v>
      </c>
      <c r="I50" s="184"/>
      <c r="J50" s="125"/>
      <c r="K50" s="200">
        <f>C50/H50</f>
        <v>0.5473234533753647</v>
      </c>
      <c r="L50" s="200">
        <f>D50/H50</f>
        <v>0</v>
      </c>
      <c r="M50" s="200">
        <f>E50/H50</f>
        <v>9.4111856247321601E-2</v>
      </c>
      <c r="N50" s="200">
        <f>F50/H50</f>
        <v>0.3585646903773137</v>
      </c>
      <c r="O50" s="200">
        <f>G50/H50</f>
        <v>0</v>
      </c>
      <c r="P50" s="125"/>
      <c r="Q50" s="155">
        <f t="shared" ref="Q50:T50" si="18">SUM(Q48:Q49)</f>
        <v>3023949</v>
      </c>
      <c r="R50" s="155">
        <f t="shared" si="18"/>
        <v>1203004</v>
      </c>
      <c r="S50" s="155">
        <f t="shared" si="18"/>
        <v>710025</v>
      </c>
      <c r="T50" s="155">
        <f t="shared" si="18"/>
        <v>0</v>
      </c>
      <c r="U50" s="155">
        <f>SUM(Q50,R50,S50,T50)</f>
        <v>4936978</v>
      </c>
      <c r="V50" s="188"/>
      <c r="W50" s="125"/>
      <c r="X50" s="200">
        <f>(Q50+R50)/U50</f>
        <v>0.85618226372489403</v>
      </c>
      <c r="Y50" s="200">
        <f>S50/U50</f>
        <v>0.14381773627510594</v>
      </c>
      <c r="Z50" s="200">
        <f>T50/U50</f>
        <v>0</v>
      </c>
      <c r="AA50" s="125"/>
      <c r="AB50" s="6">
        <f>H50-U50</f>
        <v>-571035</v>
      </c>
    </row>
    <row r="51" spans="1:28" x14ac:dyDescent="0.2">
      <c r="A51" s="90"/>
      <c r="B51" s="72"/>
      <c r="C51" s="26"/>
      <c r="D51" s="26"/>
      <c r="E51" s="26"/>
      <c r="F51" s="26"/>
      <c r="G51" s="26"/>
      <c r="H51" s="31"/>
      <c r="I51" s="31"/>
      <c r="J51" s="125"/>
      <c r="K51" s="26"/>
      <c r="L51" s="26"/>
      <c r="M51" s="26"/>
      <c r="N51" s="26"/>
      <c r="O51" s="26"/>
      <c r="P51" s="125"/>
      <c r="Q51" s="30"/>
      <c r="R51" s="26"/>
      <c r="S51" s="26"/>
      <c r="T51" s="26"/>
      <c r="U51" s="31"/>
      <c r="V51" s="31"/>
      <c r="W51" s="125"/>
      <c r="X51" s="26"/>
      <c r="Y51" s="26"/>
      <c r="Z51" s="26"/>
      <c r="AA51" s="125"/>
      <c r="AB51" s="10"/>
    </row>
    <row r="52" spans="1:28" ht="51" hidden="1" outlineLevel="1" x14ac:dyDescent="0.2">
      <c r="A52" s="88">
        <v>11</v>
      </c>
      <c r="B52" s="32" t="s">
        <v>122</v>
      </c>
      <c r="C52" s="189">
        <v>439929.32</v>
      </c>
      <c r="D52" s="189">
        <v>0</v>
      </c>
      <c r="E52" s="189">
        <v>3500</v>
      </c>
      <c r="F52" s="189">
        <v>0</v>
      </c>
      <c r="G52" s="189">
        <v>0</v>
      </c>
      <c r="H52" s="189">
        <f>SUM(C52:G52)</f>
        <v>443429.32</v>
      </c>
      <c r="I52" s="184"/>
      <c r="J52" s="125"/>
      <c r="K52" s="200"/>
      <c r="L52" s="200"/>
      <c r="M52" s="200"/>
      <c r="N52" s="200"/>
      <c r="O52" s="200"/>
      <c r="P52" s="125"/>
      <c r="Q52" s="152">
        <v>1054929.23</v>
      </c>
      <c r="R52" s="152">
        <v>301351.25</v>
      </c>
      <c r="S52" s="152">
        <v>149412.24</v>
      </c>
      <c r="T52" s="152">
        <v>0</v>
      </c>
      <c r="U52" s="152">
        <f>SUM(Q52:T52)</f>
        <v>1505692.72</v>
      </c>
      <c r="V52" s="188" t="s">
        <v>61</v>
      </c>
      <c r="W52" s="125"/>
      <c r="X52" s="200"/>
      <c r="Y52" s="200"/>
      <c r="Z52" s="200"/>
      <c r="AA52" s="125"/>
      <c r="AB52" s="6">
        <f>H52-U52</f>
        <v>-1062263.3999999999</v>
      </c>
    </row>
    <row r="53" spans="1:28" hidden="1" outlineLevel="1" x14ac:dyDescent="0.2">
      <c r="A53" s="88">
        <v>11</v>
      </c>
      <c r="B53" s="32" t="s">
        <v>123</v>
      </c>
      <c r="C53" s="189">
        <v>2535181.66</v>
      </c>
      <c r="D53" s="189">
        <v>0</v>
      </c>
      <c r="E53" s="189">
        <v>597508.24</v>
      </c>
      <c r="F53" s="189">
        <v>0</v>
      </c>
      <c r="G53" s="189">
        <v>31913</v>
      </c>
      <c r="H53" s="189">
        <f>SUM(C53:G53)</f>
        <v>3164602.9000000004</v>
      </c>
      <c r="I53" s="184"/>
      <c r="J53" s="125"/>
      <c r="K53" s="200"/>
      <c r="L53" s="200"/>
      <c r="M53" s="200"/>
      <c r="N53" s="200"/>
      <c r="O53" s="200"/>
      <c r="P53" s="125"/>
      <c r="Q53" s="152">
        <v>2226053.21</v>
      </c>
      <c r="R53" s="152">
        <v>772505.11</v>
      </c>
      <c r="S53" s="152">
        <v>694719.08</v>
      </c>
      <c r="T53" s="152">
        <v>0</v>
      </c>
      <c r="U53" s="152">
        <f>SUM(Q53:T53)</f>
        <v>3693277.4</v>
      </c>
      <c r="V53" s="188"/>
      <c r="W53" s="125"/>
      <c r="X53" s="200"/>
      <c r="Y53" s="200"/>
      <c r="Z53" s="200"/>
      <c r="AA53" s="125"/>
      <c r="AB53" s="6">
        <f>H53-U53</f>
        <v>-528674.49999999953</v>
      </c>
    </row>
    <row r="54" spans="1:28" hidden="1" outlineLevel="1" x14ac:dyDescent="0.2">
      <c r="A54" s="88">
        <v>11</v>
      </c>
      <c r="B54" s="32" t="s">
        <v>124</v>
      </c>
      <c r="C54" s="189">
        <v>0</v>
      </c>
      <c r="D54" s="189">
        <v>0</v>
      </c>
      <c r="E54" s="189">
        <v>1050</v>
      </c>
      <c r="F54" s="189">
        <v>2088010.52</v>
      </c>
      <c r="G54" s="189">
        <v>0</v>
      </c>
      <c r="H54" s="189">
        <f>SUM(C54:G54)</f>
        <v>2089060.52</v>
      </c>
      <c r="I54" s="184"/>
      <c r="J54" s="125"/>
      <c r="K54" s="200"/>
      <c r="L54" s="200"/>
      <c r="M54" s="200"/>
      <c r="N54" s="200"/>
      <c r="O54" s="200"/>
      <c r="P54" s="125"/>
      <c r="Q54" s="152">
        <v>0</v>
      </c>
      <c r="R54" s="152">
        <v>0</v>
      </c>
      <c r="S54" s="152">
        <v>0</v>
      </c>
      <c r="T54" s="152">
        <v>0</v>
      </c>
      <c r="U54" s="152">
        <f>SUM(Q54:T54)</f>
        <v>0</v>
      </c>
      <c r="V54" s="188"/>
      <c r="W54" s="125"/>
      <c r="X54" s="200"/>
      <c r="Y54" s="200"/>
      <c r="Z54" s="200"/>
      <c r="AA54" s="125"/>
      <c r="AB54" s="6">
        <f>H54-U54</f>
        <v>2089060.52</v>
      </c>
    </row>
    <row r="55" spans="1:28" ht="13.5" hidden="1" outlineLevel="1" thickBot="1" x14ac:dyDescent="0.25">
      <c r="A55" s="88">
        <v>11</v>
      </c>
      <c r="B55" s="32" t="s">
        <v>125</v>
      </c>
      <c r="C55" s="190">
        <v>0</v>
      </c>
      <c r="D55" s="190">
        <v>0</v>
      </c>
      <c r="E55" s="190">
        <v>3700</v>
      </c>
      <c r="F55" s="190">
        <v>0</v>
      </c>
      <c r="G55" s="190">
        <v>0</v>
      </c>
      <c r="H55" s="190">
        <f>SUM(C55:G55)</f>
        <v>3700</v>
      </c>
      <c r="I55" s="184"/>
      <c r="J55" s="125"/>
      <c r="K55" s="201"/>
      <c r="L55" s="201"/>
      <c r="M55" s="201"/>
      <c r="N55" s="201"/>
      <c r="O55" s="201"/>
      <c r="P55" s="125"/>
      <c r="Q55" s="154">
        <v>0</v>
      </c>
      <c r="R55" s="154">
        <v>0</v>
      </c>
      <c r="S55" s="154">
        <v>44874.37</v>
      </c>
      <c r="T55" s="154">
        <v>0</v>
      </c>
      <c r="U55" s="154">
        <f>SUM(Q55:T55)</f>
        <v>44874.37</v>
      </c>
      <c r="V55" s="188"/>
      <c r="W55" s="125"/>
      <c r="X55" s="201"/>
      <c r="Y55" s="201"/>
      <c r="Z55" s="201"/>
      <c r="AA55" s="125"/>
      <c r="AB55" s="62">
        <f>H55-U55</f>
        <v>-41174.370000000003</v>
      </c>
    </row>
    <row r="56" spans="1:28" collapsed="1" x14ac:dyDescent="0.2">
      <c r="A56" s="40">
        <v>11</v>
      </c>
      <c r="B56" s="45" t="s">
        <v>4</v>
      </c>
      <c r="C56" s="191">
        <f t="shared" ref="C56:G56" si="19">SUM(C52:C55)</f>
        <v>2975110.98</v>
      </c>
      <c r="D56" s="191">
        <f t="shared" si="19"/>
        <v>0</v>
      </c>
      <c r="E56" s="191">
        <f t="shared" si="19"/>
        <v>605758.24</v>
      </c>
      <c r="F56" s="191">
        <f t="shared" si="19"/>
        <v>2088010.52</v>
      </c>
      <c r="G56" s="191">
        <f t="shared" si="19"/>
        <v>31913</v>
      </c>
      <c r="H56" s="191">
        <f>SUM(C56,D56,E56,F56,G56)</f>
        <v>5700792.7400000002</v>
      </c>
      <c r="I56" s="184"/>
      <c r="J56" s="125"/>
      <c r="K56" s="200">
        <f>C56/H56</f>
        <v>0.52187671358843324</v>
      </c>
      <c r="L56" s="200">
        <f>D56/H56</f>
        <v>0</v>
      </c>
      <c r="M56" s="200">
        <f>E56/H56</f>
        <v>0.10625859729115499</v>
      </c>
      <c r="N56" s="200">
        <f>F56/H56</f>
        <v>0.36626669574379228</v>
      </c>
      <c r="O56" s="200">
        <f>G56/H56</f>
        <v>5.5979933766194066E-3</v>
      </c>
      <c r="P56" s="125"/>
      <c r="Q56" s="155">
        <f t="shared" ref="Q56:T56" si="20">SUM(Q52:Q55)</f>
        <v>3280982.44</v>
      </c>
      <c r="R56" s="155">
        <f t="shared" si="20"/>
        <v>1073856.3599999999</v>
      </c>
      <c r="S56" s="155">
        <f t="shared" si="20"/>
        <v>889005.69</v>
      </c>
      <c r="T56" s="155">
        <f t="shared" si="20"/>
        <v>0</v>
      </c>
      <c r="U56" s="155">
        <f>SUM(Q56,R56,S56,T56)</f>
        <v>5243844.49</v>
      </c>
      <c r="V56" s="188"/>
      <c r="W56" s="125"/>
      <c r="X56" s="200">
        <f>(Q56+R56)/U56</f>
        <v>0.83046680890416713</v>
      </c>
      <c r="Y56" s="200">
        <f>S56/U56</f>
        <v>0.16953319109583281</v>
      </c>
      <c r="Z56" s="200">
        <f>T56/U56</f>
        <v>0</v>
      </c>
      <c r="AA56" s="125"/>
      <c r="AB56" s="6">
        <f>H56-U56</f>
        <v>456948.25</v>
      </c>
    </row>
    <row r="57" spans="1:28" x14ac:dyDescent="0.2">
      <c r="A57" s="90"/>
      <c r="B57" s="72"/>
      <c r="C57" s="26"/>
      <c r="D57" s="26"/>
      <c r="E57" s="26"/>
      <c r="F57" s="26"/>
      <c r="G57" s="26"/>
      <c r="H57" s="31"/>
      <c r="I57" s="31"/>
      <c r="J57" s="125"/>
      <c r="K57" s="26"/>
      <c r="L57" s="26"/>
      <c r="M57" s="26"/>
      <c r="N57" s="26"/>
      <c r="O57" s="26"/>
      <c r="P57" s="125"/>
      <c r="Q57" s="30"/>
      <c r="R57" s="26"/>
      <c r="S57" s="26"/>
      <c r="T57" s="26"/>
      <c r="U57" s="31"/>
      <c r="V57" s="31"/>
      <c r="W57" s="125"/>
      <c r="X57" s="26"/>
      <c r="Y57" s="26"/>
      <c r="Z57" s="26"/>
      <c r="AA57" s="125"/>
      <c r="AB57" s="10"/>
    </row>
    <row r="58" spans="1:28" ht="38.25" hidden="1" outlineLevel="1" x14ac:dyDescent="0.2">
      <c r="A58" s="88">
        <v>12</v>
      </c>
      <c r="B58" s="32" t="s">
        <v>126</v>
      </c>
      <c r="C58" s="189">
        <v>1116131</v>
      </c>
      <c r="D58" s="189">
        <v>0</v>
      </c>
      <c r="E58" s="189">
        <v>307338</v>
      </c>
      <c r="F58" s="189">
        <v>1320344</v>
      </c>
      <c r="G58" s="189">
        <v>139651</v>
      </c>
      <c r="H58" s="189">
        <f>SUM(C58:G58)</f>
        <v>2883464</v>
      </c>
      <c r="I58" s="184"/>
      <c r="J58" s="125"/>
      <c r="K58" s="200"/>
      <c r="L58" s="200"/>
      <c r="M58" s="200"/>
      <c r="N58" s="200"/>
      <c r="O58" s="200"/>
      <c r="P58" s="125"/>
      <c r="Q58" s="152">
        <v>1821189</v>
      </c>
      <c r="R58" s="152">
        <v>627630</v>
      </c>
      <c r="S58" s="152">
        <v>494885</v>
      </c>
      <c r="T58" s="152">
        <v>0</v>
      </c>
      <c r="U58" s="152">
        <f>SUM(Q58:T58)</f>
        <v>2943704</v>
      </c>
      <c r="V58" s="188" t="s">
        <v>62</v>
      </c>
      <c r="W58" s="125"/>
      <c r="X58" s="200"/>
      <c r="Y58" s="200"/>
      <c r="Z58" s="200"/>
      <c r="AA58" s="125"/>
      <c r="AB58" s="6">
        <f>H58-U58</f>
        <v>-60240</v>
      </c>
    </row>
    <row r="59" spans="1:28" ht="13.5" hidden="1" outlineLevel="1" thickBot="1" x14ac:dyDescent="0.25">
      <c r="A59" s="88">
        <v>12</v>
      </c>
      <c r="B59" s="32" t="s">
        <v>127</v>
      </c>
      <c r="C59" s="190">
        <v>35488</v>
      </c>
      <c r="D59" s="190">
        <v>0</v>
      </c>
      <c r="E59" s="190">
        <v>3800</v>
      </c>
      <c r="F59" s="190">
        <v>0</v>
      </c>
      <c r="G59" s="190">
        <v>0</v>
      </c>
      <c r="H59" s="190">
        <f>SUM(C59:G59)</f>
        <v>39288</v>
      </c>
      <c r="I59" s="184"/>
      <c r="J59" s="125"/>
      <c r="K59" s="201"/>
      <c r="L59" s="201"/>
      <c r="M59" s="201"/>
      <c r="N59" s="201"/>
      <c r="O59" s="201"/>
      <c r="P59" s="125"/>
      <c r="Q59" s="154">
        <v>0</v>
      </c>
      <c r="R59" s="154">
        <v>0</v>
      </c>
      <c r="S59" s="154">
        <v>0</v>
      </c>
      <c r="T59" s="154">
        <v>0</v>
      </c>
      <c r="U59" s="154">
        <f>SUM(Q59:T59)</f>
        <v>0</v>
      </c>
      <c r="V59" s="188"/>
      <c r="W59" s="125"/>
      <c r="X59" s="201"/>
      <c r="Y59" s="201"/>
      <c r="Z59" s="201"/>
      <c r="AA59" s="125"/>
      <c r="AB59" s="62">
        <f>H59-U59</f>
        <v>39288</v>
      </c>
    </row>
    <row r="60" spans="1:28" collapsed="1" x14ac:dyDescent="0.2">
      <c r="A60" s="40">
        <v>12</v>
      </c>
      <c r="B60" s="45" t="s">
        <v>4</v>
      </c>
      <c r="C60" s="191">
        <f t="shared" ref="C60:G60" si="21">SUM(C58:C59)</f>
        <v>1151619</v>
      </c>
      <c r="D60" s="191">
        <f t="shared" si="21"/>
        <v>0</v>
      </c>
      <c r="E60" s="191">
        <f t="shared" si="21"/>
        <v>311138</v>
      </c>
      <c r="F60" s="191">
        <f t="shared" si="21"/>
        <v>1320344</v>
      </c>
      <c r="G60" s="191">
        <f t="shared" si="21"/>
        <v>139651</v>
      </c>
      <c r="H60" s="191">
        <f>SUM(C60,D60,E60,F60,G60)</f>
        <v>2922752</v>
      </c>
      <c r="I60" s="184"/>
      <c r="J60" s="125"/>
      <c r="K60" s="200">
        <f>C60/H60</f>
        <v>0.39401871934396077</v>
      </c>
      <c r="L60" s="200">
        <f>D60/H60</f>
        <v>0</v>
      </c>
      <c r="M60" s="200">
        <f>E60/H60</f>
        <v>0.10645378054655338</v>
      </c>
      <c r="N60" s="200">
        <f>F60/H60</f>
        <v>0.45174684680739247</v>
      </c>
      <c r="O60" s="200">
        <f>G60/H60</f>
        <v>4.778065330209337E-2</v>
      </c>
      <c r="P60" s="125"/>
      <c r="Q60" s="155">
        <f t="shared" ref="Q60:T60" si="22">SUM(Q58:Q59)</f>
        <v>1821189</v>
      </c>
      <c r="R60" s="155">
        <f t="shared" si="22"/>
        <v>627630</v>
      </c>
      <c r="S60" s="155">
        <f t="shared" si="22"/>
        <v>494885</v>
      </c>
      <c r="T60" s="155">
        <f t="shared" si="22"/>
        <v>0</v>
      </c>
      <c r="U60" s="155">
        <f>SUM(Q60,R60,S60,T60)</f>
        <v>2943704</v>
      </c>
      <c r="V60" s="188"/>
      <c r="W60" s="125"/>
      <c r="X60" s="200">
        <f>(Q60+R60)/U60</f>
        <v>0.83188357253310796</v>
      </c>
      <c r="Y60" s="200">
        <f>S60/U60</f>
        <v>0.16811642746689207</v>
      </c>
      <c r="Z60" s="200">
        <f>T60/U60</f>
        <v>0</v>
      </c>
      <c r="AA60" s="125"/>
      <c r="AB60" s="6">
        <f>H60-U60</f>
        <v>-20952</v>
      </c>
    </row>
    <row r="61" spans="1:28" x14ac:dyDescent="0.2">
      <c r="A61" s="90"/>
      <c r="B61" s="72"/>
      <c r="C61" s="26"/>
      <c r="D61" s="26"/>
      <c r="E61" s="26"/>
      <c r="F61" s="26"/>
      <c r="G61" s="26"/>
      <c r="H61" s="31"/>
      <c r="I61" s="31"/>
      <c r="J61" s="125"/>
      <c r="K61" s="26"/>
      <c r="L61" s="26"/>
      <c r="M61" s="26"/>
      <c r="N61" s="26"/>
      <c r="O61" s="26"/>
      <c r="P61" s="125"/>
      <c r="Q61" s="30"/>
      <c r="R61" s="26"/>
      <c r="S61" s="26"/>
      <c r="T61" s="26"/>
      <c r="U61" s="31"/>
      <c r="V61" s="31"/>
      <c r="W61" s="125"/>
      <c r="X61" s="26"/>
      <c r="Y61" s="26"/>
      <c r="Z61" s="26"/>
      <c r="AA61" s="125"/>
      <c r="AB61" s="10"/>
    </row>
    <row r="62" spans="1:28" ht="51" hidden="1" outlineLevel="1" x14ac:dyDescent="0.2">
      <c r="A62" s="88">
        <v>13</v>
      </c>
      <c r="B62" s="32" t="s">
        <v>128</v>
      </c>
      <c r="C62" s="189">
        <v>6833194</v>
      </c>
      <c r="D62" s="189">
        <v>0</v>
      </c>
      <c r="E62" s="189">
        <v>945749.9</v>
      </c>
      <c r="F62" s="189">
        <v>3450873.75</v>
      </c>
      <c r="G62" s="189">
        <v>115751</v>
      </c>
      <c r="H62" s="189">
        <f>SUM(C62:G62)</f>
        <v>11345568.65</v>
      </c>
      <c r="I62" s="184"/>
      <c r="J62" s="125"/>
      <c r="K62" s="200"/>
      <c r="L62" s="200"/>
      <c r="M62" s="200"/>
      <c r="N62" s="200"/>
      <c r="O62" s="200"/>
      <c r="P62" s="125"/>
      <c r="Q62" s="157">
        <v>9868904.5299999993</v>
      </c>
      <c r="R62" s="162"/>
      <c r="S62" s="152">
        <v>581695.79</v>
      </c>
      <c r="T62" s="152">
        <v>0</v>
      </c>
      <c r="U62" s="152">
        <f>SUM(Q62:T62)</f>
        <v>10450600.32</v>
      </c>
      <c r="V62" s="188" t="s">
        <v>63</v>
      </c>
      <c r="W62" s="125"/>
      <c r="X62" s="212"/>
      <c r="Y62" s="200"/>
      <c r="Z62" s="200"/>
      <c r="AA62" s="125"/>
      <c r="AB62" s="6">
        <f>H62-U62</f>
        <v>894968.33000000007</v>
      </c>
    </row>
    <row r="63" spans="1:28" ht="13.5" hidden="1" outlineLevel="1" thickBot="1" x14ac:dyDescent="0.25">
      <c r="A63" s="88">
        <v>13</v>
      </c>
      <c r="B63" s="32" t="s">
        <v>130</v>
      </c>
      <c r="C63" s="190">
        <v>953611</v>
      </c>
      <c r="D63" s="190">
        <v>0</v>
      </c>
      <c r="E63" s="190">
        <v>447203.79</v>
      </c>
      <c r="F63" s="190">
        <v>0</v>
      </c>
      <c r="G63" s="190">
        <v>0</v>
      </c>
      <c r="H63" s="190">
        <f>SUM(C63:G63)</f>
        <v>1400814.79</v>
      </c>
      <c r="I63" s="184"/>
      <c r="J63" s="125"/>
      <c r="K63" s="201"/>
      <c r="L63" s="201"/>
      <c r="M63" s="201"/>
      <c r="N63" s="201"/>
      <c r="O63" s="201"/>
      <c r="P63" s="125"/>
      <c r="Q63" s="159">
        <v>1364498.28</v>
      </c>
      <c r="R63" s="163"/>
      <c r="S63" s="154">
        <v>83694.740000000005</v>
      </c>
      <c r="T63" s="154">
        <v>0</v>
      </c>
      <c r="U63" s="154">
        <f>SUM(Q63:T63)</f>
        <v>1448193.02</v>
      </c>
      <c r="V63" s="188"/>
      <c r="W63" s="125"/>
      <c r="X63" s="213"/>
      <c r="Y63" s="201"/>
      <c r="Z63" s="201"/>
      <c r="AA63" s="125"/>
      <c r="AB63" s="62">
        <f>H63-U63</f>
        <v>-47378.229999999981</v>
      </c>
    </row>
    <row r="64" spans="1:28" ht="25.5" collapsed="1" x14ac:dyDescent="0.2">
      <c r="A64" s="40">
        <v>13</v>
      </c>
      <c r="B64" s="45" t="s">
        <v>4</v>
      </c>
      <c r="C64" s="191">
        <f t="shared" ref="C64:G64" si="23">SUM(C62:C63)</f>
        <v>7786805</v>
      </c>
      <c r="D64" s="191">
        <f t="shared" si="23"/>
        <v>0</v>
      </c>
      <c r="E64" s="191">
        <f t="shared" si="23"/>
        <v>1392953.69</v>
      </c>
      <c r="F64" s="191">
        <f t="shared" si="23"/>
        <v>3450873.75</v>
      </c>
      <c r="G64" s="191">
        <f t="shared" si="23"/>
        <v>115751</v>
      </c>
      <c r="H64" s="191">
        <f>SUM(C64,D64,E64,F64,G64)</f>
        <v>12746383.439999999</v>
      </c>
      <c r="I64" s="184" t="s">
        <v>161</v>
      </c>
      <c r="J64" s="125"/>
      <c r="K64" s="200">
        <f>C64/H64</f>
        <v>0.61090308766044776</v>
      </c>
      <c r="L64" s="200">
        <f>D64/H64</f>
        <v>0</v>
      </c>
      <c r="M64" s="200">
        <f>E64/H64</f>
        <v>0.10928226791206588</v>
      </c>
      <c r="N64" s="200">
        <f>F64/H64</f>
        <v>0.27073355875758903</v>
      </c>
      <c r="O64" s="200">
        <f>G64/H64</f>
        <v>9.0810856698972809E-3</v>
      </c>
      <c r="P64" s="125"/>
      <c r="Q64" s="155">
        <f t="shared" ref="Q64:T64" si="24">SUM(Q62:Q63)</f>
        <v>11233402.809999999</v>
      </c>
      <c r="R64" s="155">
        <f t="shared" si="24"/>
        <v>0</v>
      </c>
      <c r="S64" s="155">
        <f t="shared" si="24"/>
        <v>665390.53</v>
      </c>
      <c r="T64" s="155">
        <f t="shared" si="24"/>
        <v>0</v>
      </c>
      <c r="U64" s="155">
        <f>SUM(Q64,R64,S64,T64)</f>
        <v>11898793.339999998</v>
      </c>
      <c r="V64" s="188"/>
      <c r="W64" s="125"/>
      <c r="X64" s="200">
        <f>(Q64+R64)/U64</f>
        <v>0.94407915903849127</v>
      </c>
      <c r="Y64" s="200">
        <f>S64/U64</f>
        <v>5.5920840961508803E-2</v>
      </c>
      <c r="Z64" s="200">
        <f>T64/U64</f>
        <v>0</v>
      </c>
      <c r="AA64" s="125"/>
      <c r="AB64" s="6">
        <f>H64-U64</f>
        <v>847590.10000000149</v>
      </c>
    </row>
    <row r="65" spans="1:28" x14ac:dyDescent="0.2">
      <c r="A65" s="90"/>
      <c r="B65" s="72"/>
      <c r="C65" s="26"/>
      <c r="D65" s="26"/>
      <c r="E65" s="26"/>
      <c r="F65" s="26"/>
      <c r="G65" s="26"/>
      <c r="H65" s="31"/>
      <c r="I65" s="31"/>
      <c r="J65" s="125"/>
      <c r="K65" s="26"/>
      <c r="L65" s="26"/>
      <c r="M65" s="26"/>
      <c r="N65" s="26"/>
      <c r="O65" s="26"/>
      <c r="P65" s="125"/>
      <c r="Q65" s="30"/>
      <c r="R65" s="26"/>
      <c r="S65" s="26"/>
      <c r="T65" s="26"/>
      <c r="U65" s="31"/>
      <c r="V65" s="31"/>
      <c r="W65" s="125"/>
      <c r="X65" s="26"/>
      <c r="Y65" s="26"/>
      <c r="Z65" s="26"/>
      <c r="AA65" s="125"/>
      <c r="AB65" s="10"/>
    </row>
    <row r="66" spans="1:28" ht="63.75" hidden="1" outlineLevel="1" x14ac:dyDescent="0.2">
      <c r="A66" s="88">
        <v>14</v>
      </c>
      <c r="B66" s="32" t="s">
        <v>131</v>
      </c>
      <c r="C66" s="189">
        <v>20000</v>
      </c>
      <c r="D66" s="189">
        <v>0</v>
      </c>
      <c r="E66" s="189">
        <v>6668.25</v>
      </c>
      <c r="F66" s="189">
        <v>0</v>
      </c>
      <c r="G66" s="189">
        <v>0</v>
      </c>
      <c r="H66" s="189">
        <f>SUM(C66:G66)</f>
        <v>26668.25</v>
      </c>
      <c r="I66" s="184"/>
      <c r="J66" s="125"/>
      <c r="K66" s="200"/>
      <c r="L66" s="200"/>
      <c r="M66" s="200"/>
      <c r="N66" s="200"/>
      <c r="O66" s="200"/>
      <c r="P66" s="125"/>
      <c r="Q66" s="152">
        <v>111717.37</v>
      </c>
      <c r="R66" s="152">
        <v>30179.61</v>
      </c>
      <c r="S66" s="152">
        <v>5841.56</v>
      </c>
      <c r="T66" s="152">
        <v>0</v>
      </c>
      <c r="U66" s="152">
        <f>SUM(Q66:T66)</f>
        <v>147738.53999999998</v>
      </c>
      <c r="V66" s="188" t="s">
        <v>64</v>
      </c>
      <c r="W66" s="125"/>
      <c r="X66" s="200"/>
      <c r="Y66" s="200"/>
      <c r="Z66" s="200"/>
      <c r="AA66" s="125"/>
      <c r="AB66" s="6">
        <f t="shared" ref="AB66:AB71" si="25">H66-U66</f>
        <v>-121070.28999999998</v>
      </c>
    </row>
    <row r="67" spans="1:28" hidden="1" outlineLevel="1" x14ac:dyDescent="0.2">
      <c r="A67" s="88">
        <v>14</v>
      </c>
      <c r="B67" s="32" t="s">
        <v>132</v>
      </c>
      <c r="C67" s="189">
        <v>1245000</v>
      </c>
      <c r="D67" s="189">
        <v>98500</v>
      </c>
      <c r="E67" s="189">
        <v>254871.53</v>
      </c>
      <c r="F67" s="189">
        <v>1711344.21</v>
      </c>
      <c r="G67" s="189">
        <v>187006.73</v>
      </c>
      <c r="H67" s="189">
        <f>SUM(C67:G67)</f>
        <v>3496722.47</v>
      </c>
      <c r="I67" s="184"/>
      <c r="J67" s="125"/>
      <c r="K67" s="200"/>
      <c r="L67" s="200"/>
      <c r="M67" s="200"/>
      <c r="N67" s="200"/>
      <c r="O67" s="200"/>
      <c r="P67" s="125"/>
      <c r="Q67" s="152">
        <v>1785416.84</v>
      </c>
      <c r="R67" s="152">
        <v>556886.81999999995</v>
      </c>
      <c r="S67" s="152">
        <v>639297.11</v>
      </c>
      <c r="T67" s="152">
        <v>236235.02</v>
      </c>
      <c r="U67" s="152">
        <f>SUM(Q67:T67)</f>
        <v>3217835.79</v>
      </c>
      <c r="V67" s="188"/>
      <c r="W67" s="125"/>
      <c r="X67" s="200"/>
      <c r="Y67" s="200"/>
      <c r="Z67" s="200"/>
      <c r="AA67" s="125"/>
      <c r="AB67" s="6">
        <f t="shared" si="25"/>
        <v>278886.68000000017</v>
      </c>
    </row>
    <row r="68" spans="1:28" hidden="1" outlineLevel="1" x14ac:dyDescent="0.2">
      <c r="A68" s="88">
        <v>14</v>
      </c>
      <c r="B68" s="32" t="s">
        <v>133</v>
      </c>
      <c r="C68" s="189">
        <v>229512</v>
      </c>
      <c r="D68" s="189">
        <v>0</v>
      </c>
      <c r="E68" s="189">
        <v>46609.15</v>
      </c>
      <c r="F68" s="189">
        <v>0</v>
      </c>
      <c r="G68" s="189">
        <v>0</v>
      </c>
      <c r="H68" s="189">
        <f>SUM(C68:G68)</f>
        <v>276121.15000000002</v>
      </c>
      <c r="I68" s="184"/>
      <c r="J68" s="125"/>
      <c r="K68" s="200"/>
      <c r="L68" s="200"/>
      <c r="M68" s="200"/>
      <c r="N68" s="200"/>
      <c r="O68" s="200"/>
      <c r="P68" s="125"/>
      <c r="Q68" s="152">
        <v>207102.45</v>
      </c>
      <c r="R68" s="152">
        <v>60050.93</v>
      </c>
      <c r="S68" s="152">
        <v>6728.09</v>
      </c>
      <c r="T68" s="152">
        <v>0</v>
      </c>
      <c r="U68" s="152">
        <f>SUM(Q68:T68)</f>
        <v>273881.47000000003</v>
      </c>
      <c r="V68" s="188"/>
      <c r="W68" s="125"/>
      <c r="X68" s="200"/>
      <c r="Y68" s="200"/>
      <c r="Z68" s="200"/>
      <c r="AA68" s="125"/>
      <c r="AB68" s="6">
        <f t="shared" si="25"/>
        <v>2239.679999999993</v>
      </c>
    </row>
    <row r="69" spans="1:28" hidden="1" outlineLevel="1" x14ac:dyDescent="0.2">
      <c r="A69" s="88">
        <v>14</v>
      </c>
      <c r="B69" s="32" t="s">
        <v>134</v>
      </c>
      <c r="C69" s="189">
        <v>87540</v>
      </c>
      <c r="D69" s="189">
        <v>0</v>
      </c>
      <c r="E69" s="189">
        <v>36517.72</v>
      </c>
      <c r="F69" s="189">
        <v>0</v>
      </c>
      <c r="G69" s="189">
        <v>0</v>
      </c>
      <c r="H69" s="189">
        <f>SUM(C69:G69)</f>
        <v>124057.72</v>
      </c>
      <c r="I69" s="184"/>
      <c r="J69" s="125"/>
      <c r="K69" s="200"/>
      <c r="L69" s="200"/>
      <c r="M69" s="200"/>
      <c r="N69" s="200"/>
      <c r="O69" s="200"/>
      <c r="P69" s="125"/>
      <c r="Q69" s="152">
        <v>171317.03</v>
      </c>
      <c r="R69" s="152">
        <v>61698.65</v>
      </c>
      <c r="S69" s="152">
        <v>6239.62</v>
      </c>
      <c r="T69" s="152">
        <v>0</v>
      </c>
      <c r="U69" s="152">
        <f>SUM(Q69:T69)</f>
        <v>239255.3</v>
      </c>
      <c r="V69" s="188"/>
      <c r="W69" s="125"/>
      <c r="X69" s="200"/>
      <c r="Y69" s="200"/>
      <c r="Z69" s="200"/>
      <c r="AA69" s="125"/>
      <c r="AB69" s="6">
        <f t="shared" si="25"/>
        <v>-115197.57999999999</v>
      </c>
    </row>
    <row r="70" spans="1:28" ht="13.5" hidden="1" outlineLevel="1" thickBot="1" x14ac:dyDescent="0.25">
      <c r="A70" s="88">
        <v>14</v>
      </c>
      <c r="B70" s="32" t="s">
        <v>135</v>
      </c>
      <c r="C70" s="190">
        <v>198712.5</v>
      </c>
      <c r="D70" s="190">
        <v>55000</v>
      </c>
      <c r="E70" s="190">
        <v>38591.01</v>
      </c>
      <c r="F70" s="190">
        <v>0</v>
      </c>
      <c r="G70" s="190">
        <v>0</v>
      </c>
      <c r="H70" s="190">
        <f>SUM(C70:G70)</f>
        <v>292303.51</v>
      </c>
      <c r="I70" s="184"/>
      <c r="J70" s="125"/>
      <c r="K70" s="201"/>
      <c r="L70" s="201"/>
      <c r="M70" s="201"/>
      <c r="N70" s="201"/>
      <c r="O70" s="201"/>
      <c r="P70" s="125"/>
      <c r="Q70" s="154">
        <v>235157.15</v>
      </c>
      <c r="R70" s="154">
        <v>95421.34</v>
      </c>
      <c r="S70" s="154">
        <v>6583.51</v>
      </c>
      <c r="T70" s="154">
        <v>0</v>
      </c>
      <c r="U70" s="154">
        <f>SUM(Q70:T70)</f>
        <v>337162</v>
      </c>
      <c r="V70" s="188"/>
      <c r="W70" s="125"/>
      <c r="X70" s="201"/>
      <c r="Y70" s="201"/>
      <c r="Z70" s="201"/>
      <c r="AA70" s="125"/>
      <c r="AB70" s="62">
        <f t="shared" si="25"/>
        <v>-44858.489999999991</v>
      </c>
    </row>
    <row r="71" spans="1:28" collapsed="1" x14ac:dyDescent="0.2">
      <c r="A71" s="40">
        <v>14</v>
      </c>
      <c r="B71" s="45" t="s">
        <v>4</v>
      </c>
      <c r="C71" s="191">
        <f t="shared" ref="C71:G71" si="26">SUM(C66:C70)</f>
        <v>1780764.5</v>
      </c>
      <c r="D71" s="191">
        <f t="shared" si="26"/>
        <v>153500</v>
      </c>
      <c r="E71" s="191">
        <f t="shared" si="26"/>
        <v>383257.66000000003</v>
      </c>
      <c r="F71" s="191">
        <f t="shared" si="26"/>
        <v>1711344.21</v>
      </c>
      <c r="G71" s="191">
        <f t="shared" si="26"/>
        <v>187006.73</v>
      </c>
      <c r="H71" s="191">
        <f>SUM(C71,D71,E71,F71,G71)</f>
        <v>4215873.1000000006</v>
      </c>
      <c r="I71" s="184"/>
      <c r="J71" s="125"/>
      <c r="K71" s="200">
        <f>C71/H71</f>
        <v>0.42239518547178279</v>
      </c>
      <c r="L71" s="200">
        <f>D71/H71</f>
        <v>3.6410014333685702E-2</v>
      </c>
      <c r="M71" s="200">
        <f>E71/H71</f>
        <v>9.0908253381725368E-2</v>
      </c>
      <c r="N71" s="200">
        <f>F71/H71</f>
        <v>0.40592877665127058</v>
      </c>
      <c r="O71" s="200">
        <f>G71/H71</f>
        <v>4.4357770161535456E-2</v>
      </c>
      <c r="P71" s="125"/>
      <c r="Q71" s="155">
        <f t="shared" ref="Q71:T71" si="27">SUM(Q66:Q70)</f>
        <v>2510710.84</v>
      </c>
      <c r="R71" s="155">
        <f t="shared" si="27"/>
        <v>804237.35</v>
      </c>
      <c r="S71" s="155">
        <f t="shared" si="27"/>
        <v>664689.89</v>
      </c>
      <c r="T71" s="155">
        <f t="shared" si="27"/>
        <v>236235.02</v>
      </c>
      <c r="U71" s="155">
        <f>SUM(Q71,R71,S71,T71)</f>
        <v>4215873.0999999996</v>
      </c>
      <c r="V71" s="188"/>
      <c r="W71" s="125"/>
      <c r="X71" s="200">
        <f>(Q71+R71)/U71</f>
        <v>0.78630170106400976</v>
      </c>
      <c r="Y71" s="200">
        <f>S71/U71</f>
        <v>0.15766363793065785</v>
      </c>
      <c r="Z71" s="200">
        <f>T71/U71</f>
        <v>5.6034661005332442E-2</v>
      </c>
      <c r="AA71" s="125"/>
      <c r="AB71" s="6">
        <f t="shared" si="25"/>
        <v>0</v>
      </c>
    </row>
    <row r="72" spans="1:28" x14ac:dyDescent="0.2">
      <c r="A72" s="90"/>
      <c r="B72" s="72"/>
      <c r="C72" s="26"/>
      <c r="D72" s="26"/>
      <c r="E72" s="26"/>
      <c r="F72" s="26"/>
      <c r="G72" s="26"/>
      <c r="H72" s="31"/>
      <c r="I72" s="31"/>
      <c r="J72" s="125"/>
      <c r="K72" s="26"/>
      <c r="L72" s="26"/>
      <c r="M72" s="26"/>
      <c r="N72" s="26"/>
      <c r="O72" s="26"/>
      <c r="P72" s="125"/>
      <c r="Q72" s="30"/>
      <c r="R72" s="26"/>
      <c r="S72" s="26"/>
      <c r="T72" s="26"/>
      <c r="U72" s="31"/>
      <c r="V72" s="31"/>
      <c r="W72" s="125"/>
      <c r="X72" s="26"/>
      <c r="Y72" s="26"/>
      <c r="Z72" s="26"/>
      <c r="AA72" s="125"/>
      <c r="AB72" s="10"/>
    </row>
    <row r="73" spans="1:28" hidden="1" outlineLevel="1" x14ac:dyDescent="0.2">
      <c r="A73" s="88">
        <v>15</v>
      </c>
      <c r="B73" s="32" t="s">
        <v>136</v>
      </c>
      <c r="C73" s="189">
        <v>1106153</v>
      </c>
      <c r="D73" s="189">
        <v>0</v>
      </c>
      <c r="E73" s="189">
        <v>0</v>
      </c>
      <c r="F73" s="189">
        <v>0</v>
      </c>
      <c r="G73" s="189">
        <v>0</v>
      </c>
      <c r="H73" s="189">
        <f>SUM(C73:G73)</f>
        <v>1106153</v>
      </c>
      <c r="I73" s="184"/>
      <c r="J73" s="125"/>
      <c r="K73" s="200"/>
      <c r="L73" s="200"/>
      <c r="M73" s="200"/>
      <c r="N73" s="200"/>
      <c r="O73" s="200"/>
      <c r="P73" s="125"/>
      <c r="Q73" s="152">
        <v>734310.72</v>
      </c>
      <c r="R73" s="152">
        <v>244832.57</v>
      </c>
      <c r="S73" s="152">
        <v>103621.05</v>
      </c>
      <c r="T73" s="152">
        <v>0</v>
      </c>
      <c r="U73" s="152">
        <f>SUM(Q73:T73)</f>
        <v>1082764.3400000001</v>
      </c>
      <c r="V73" s="188"/>
      <c r="W73" s="125"/>
      <c r="X73" s="200"/>
      <c r="Y73" s="200"/>
      <c r="Z73" s="200"/>
      <c r="AA73" s="125"/>
      <c r="AB73" s="6">
        <f>H73-U73</f>
        <v>23388.659999999916</v>
      </c>
    </row>
    <row r="74" spans="1:28" ht="13.5" hidden="1" outlineLevel="1" thickBot="1" x14ac:dyDescent="0.25">
      <c r="A74" s="88">
        <v>15</v>
      </c>
      <c r="B74" s="32" t="s">
        <v>137</v>
      </c>
      <c r="C74" s="190">
        <v>4073607.98</v>
      </c>
      <c r="D74" s="190">
        <v>970895.68</v>
      </c>
      <c r="E74" s="190">
        <v>53738.85</v>
      </c>
      <c r="F74" s="190">
        <v>1390049.27</v>
      </c>
      <c r="G74" s="190">
        <v>876199</v>
      </c>
      <c r="H74" s="190">
        <f>SUM(C74:G74)</f>
        <v>7364490.7799999993</v>
      </c>
      <c r="I74" s="184"/>
      <c r="J74" s="125"/>
      <c r="K74" s="201"/>
      <c r="L74" s="201"/>
      <c r="M74" s="201"/>
      <c r="N74" s="201"/>
      <c r="O74" s="201"/>
      <c r="P74" s="125"/>
      <c r="Q74" s="154">
        <v>3834855.74</v>
      </c>
      <c r="R74" s="154">
        <v>1431644.11</v>
      </c>
      <c r="S74" s="154">
        <v>1091539.97</v>
      </c>
      <c r="T74" s="154">
        <v>0</v>
      </c>
      <c r="U74" s="154">
        <f>SUM(Q74:T74)</f>
        <v>6358039.8200000003</v>
      </c>
      <c r="V74" s="188"/>
      <c r="W74" s="125"/>
      <c r="X74" s="201"/>
      <c r="Y74" s="201"/>
      <c r="Z74" s="201"/>
      <c r="AA74" s="125"/>
      <c r="AB74" s="62">
        <f>H74-U74</f>
        <v>1006450.959999999</v>
      </c>
    </row>
    <row r="75" spans="1:28" collapsed="1" x14ac:dyDescent="0.2">
      <c r="A75" s="40">
        <v>15</v>
      </c>
      <c r="B75" s="45" t="s">
        <v>4</v>
      </c>
      <c r="C75" s="191">
        <f t="shared" ref="C75:G75" si="28">SUM(C73:C74)</f>
        <v>5179760.9800000004</v>
      </c>
      <c r="D75" s="191">
        <f t="shared" si="28"/>
        <v>970895.68</v>
      </c>
      <c r="E75" s="191">
        <f t="shared" si="28"/>
        <v>53738.85</v>
      </c>
      <c r="F75" s="191">
        <f t="shared" si="28"/>
        <v>1390049.27</v>
      </c>
      <c r="G75" s="191">
        <f t="shared" si="28"/>
        <v>876199</v>
      </c>
      <c r="H75" s="191">
        <f>SUM(C75,D75,E75,F75,G75)</f>
        <v>8470643.7799999993</v>
      </c>
      <c r="I75" s="184"/>
      <c r="J75" s="125"/>
      <c r="K75" s="200">
        <f>C75/H75</f>
        <v>0.61149555034174752</v>
      </c>
      <c r="L75" s="200">
        <f>D75/H75</f>
        <v>0.11461887729152036</v>
      </c>
      <c r="M75" s="200">
        <f>E75/H75</f>
        <v>6.3441281909271839E-3</v>
      </c>
      <c r="N75" s="200">
        <f>F75/H75</f>
        <v>0.16410196274361571</v>
      </c>
      <c r="O75" s="200">
        <f>G75/H75</f>
        <v>0.10343948143218934</v>
      </c>
      <c r="P75" s="125"/>
      <c r="Q75" s="155">
        <f t="shared" ref="Q75:T75" si="29">SUM(Q73:Q74)</f>
        <v>4569166.46</v>
      </c>
      <c r="R75" s="155">
        <f t="shared" si="29"/>
        <v>1676476.6800000002</v>
      </c>
      <c r="S75" s="155">
        <f t="shared" si="29"/>
        <v>1195161.02</v>
      </c>
      <c r="T75" s="155">
        <f t="shared" si="29"/>
        <v>0</v>
      </c>
      <c r="U75" s="155">
        <f>SUM(Q75,R75,S75,T75)</f>
        <v>7440804.1600000001</v>
      </c>
      <c r="V75" s="188"/>
      <c r="W75" s="125"/>
      <c r="X75" s="200">
        <f>(Q75+R75)/U75</f>
        <v>0.83937743901057071</v>
      </c>
      <c r="Y75" s="200">
        <f>S75/U75</f>
        <v>0.1606225609894294</v>
      </c>
      <c r="Z75" s="200">
        <f>T75/U75</f>
        <v>0</v>
      </c>
      <c r="AA75" s="125"/>
      <c r="AB75" s="6">
        <f>H75-U75</f>
        <v>1029839.6199999992</v>
      </c>
    </row>
    <row r="76" spans="1:28" x14ac:dyDescent="0.2">
      <c r="A76" s="90"/>
      <c r="B76" s="72"/>
      <c r="C76" s="26"/>
      <c r="D76" s="26"/>
      <c r="E76" s="26"/>
      <c r="F76" s="26"/>
      <c r="G76" s="26"/>
      <c r="H76" s="31"/>
      <c r="I76" s="31"/>
      <c r="J76" s="125"/>
      <c r="K76" s="26"/>
      <c r="L76" s="26"/>
      <c r="M76" s="26"/>
      <c r="N76" s="26"/>
      <c r="O76" s="26"/>
      <c r="P76" s="125"/>
      <c r="Q76" s="30"/>
      <c r="R76" s="26"/>
      <c r="S76" s="26"/>
      <c r="T76" s="26"/>
      <c r="U76" s="31"/>
      <c r="V76" s="31"/>
      <c r="W76" s="125"/>
      <c r="X76" s="26"/>
      <c r="Y76" s="26"/>
      <c r="Z76" s="26"/>
      <c r="AA76" s="125"/>
      <c r="AB76" s="10"/>
    </row>
    <row r="77" spans="1:28" hidden="1" outlineLevel="1" x14ac:dyDescent="0.2">
      <c r="A77" s="88">
        <v>16</v>
      </c>
      <c r="B77" s="32" t="s">
        <v>138</v>
      </c>
      <c r="C77" s="189">
        <v>252840</v>
      </c>
      <c r="D77" s="189">
        <v>0</v>
      </c>
      <c r="E77" s="189">
        <v>20015</v>
      </c>
      <c r="F77" s="189">
        <v>196391</v>
      </c>
      <c r="G77" s="189">
        <v>0</v>
      </c>
      <c r="H77" s="189">
        <f>SUM(C77:G77)</f>
        <v>469246</v>
      </c>
      <c r="I77" s="184"/>
      <c r="J77" s="125"/>
      <c r="K77" s="200"/>
      <c r="L77" s="200"/>
      <c r="M77" s="200"/>
      <c r="N77" s="200"/>
      <c r="O77" s="200"/>
      <c r="P77" s="125"/>
      <c r="Q77" s="152">
        <v>298335</v>
      </c>
      <c r="R77" s="152">
        <v>88166</v>
      </c>
      <c r="S77" s="152">
        <v>15865</v>
      </c>
      <c r="T77" s="152">
        <v>0</v>
      </c>
      <c r="U77" s="152">
        <f>SUM(Q77:T77)</f>
        <v>402366</v>
      </c>
      <c r="V77" s="188"/>
      <c r="W77" s="125"/>
      <c r="X77" s="200"/>
      <c r="Y77" s="200"/>
      <c r="Z77" s="200"/>
      <c r="AA77" s="125"/>
      <c r="AB77" s="6">
        <f>H77-U77</f>
        <v>66880</v>
      </c>
    </row>
    <row r="78" spans="1:28" ht="13.5" hidden="1" outlineLevel="1" thickBot="1" x14ac:dyDescent="0.25">
      <c r="A78" s="88">
        <v>16</v>
      </c>
      <c r="B78" s="32" t="s">
        <v>139</v>
      </c>
      <c r="C78" s="190">
        <v>4583693</v>
      </c>
      <c r="D78" s="190">
        <v>40000</v>
      </c>
      <c r="E78" s="190">
        <v>519315</v>
      </c>
      <c r="F78" s="190">
        <v>1572892</v>
      </c>
      <c r="G78" s="190">
        <v>0</v>
      </c>
      <c r="H78" s="190">
        <f>SUM(C78:G78)</f>
        <v>6715900</v>
      </c>
      <c r="I78" s="184"/>
      <c r="J78" s="125"/>
      <c r="K78" s="201"/>
      <c r="L78" s="201"/>
      <c r="M78" s="201"/>
      <c r="N78" s="201"/>
      <c r="O78" s="201"/>
      <c r="P78" s="125"/>
      <c r="Q78" s="154">
        <v>4144899</v>
      </c>
      <c r="R78" s="154">
        <v>1186025</v>
      </c>
      <c r="S78" s="154">
        <v>1332935</v>
      </c>
      <c r="T78" s="154">
        <v>0</v>
      </c>
      <c r="U78" s="154">
        <f>SUM(Q78:T78)</f>
        <v>6663859</v>
      </c>
      <c r="V78" s="188"/>
      <c r="W78" s="125"/>
      <c r="X78" s="201"/>
      <c r="Y78" s="201"/>
      <c r="Z78" s="201"/>
      <c r="AA78" s="125"/>
      <c r="AB78" s="62">
        <f>H78-U78</f>
        <v>52041</v>
      </c>
    </row>
    <row r="79" spans="1:28" collapsed="1" x14ac:dyDescent="0.2">
      <c r="A79" s="40">
        <v>16</v>
      </c>
      <c r="B79" s="45" t="s">
        <v>4</v>
      </c>
      <c r="C79" s="191">
        <f t="shared" ref="C79:G79" si="30">SUM(C77:C78)</f>
        <v>4836533</v>
      </c>
      <c r="D79" s="191">
        <f t="shared" si="30"/>
        <v>40000</v>
      </c>
      <c r="E79" s="191">
        <f t="shared" si="30"/>
        <v>539330</v>
      </c>
      <c r="F79" s="191">
        <f t="shared" si="30"/>
        <v>1769283</v>
      </c>
      <c r="G79" s="191">
        <f t="shared" si="30"/>
        <v>0</v>
      </c>
      <c r="H79" s="191">
        <f>SUM(C79,D79,E79,F79,G79)</f>
        <v>7185146</v>
      </c>
      <c r="I79" s="184"/>
      <c r="J79" s="125"/>
      <c r="K79" s="200">
        <f>C79/H79</f>
        <v>0.67312939778815906</v>
      </c>
      <c r="L79" s="200">
        <f>D79/H79</f>
        <v>5.567040669737261E-3</v>
      </c>
      <c r="M79" s="200">
        <f>E79/H79</f>
        <v>7.5061801110234916E-2</v>
      </c>
      <c r="N79" s="200">
        <f>F79/H79</f>
        <v>0.24624176043186874</v>
      </c>
      <c r="O79" s="200">
        <f>G79/H79</f>
        <v>0</v>
      </c>
      <c r="P79" s="125"/>
      <c r="Q79" s="155">
        <f t="shared" ref="Q79:T79" si="31">SUM(Q77:Q78)</f>
        <v>4443234</v>
      </c>
      <c r="R79" s="155">
        <f t="shared" si="31"/>
        <v>1274191</v>
      </c>
      <c r="S79" s="155">
        <f t="shared" si="31"/>
        <v>1348800</v>
      </c>
      <c r="T79" s="155">
        <f t="shared" si="31"/>
        <v>0</v>
      </c>
      <c r="U79" s="155">
        <f>SUM(Q79,R79,S79,T79)</f>
        <v>7066225</v>
      </c>
      <c r="V79" s="188"/>
      <c r="W79" s="125"/>
      <c r="X79" s="200">
        <f>(Q79+R79)/U79</f>
        <v>0.8091201454807907</v>
      </c>
      <c r="Y79" s="200">
        <f>S79/U79</f>
        <v>0.19087985451920933</v>
      </c>
      <c r="Z79" s="200">
        <f>T79/U79</f>
        <v>0</v>
      </c>
      <c r="AA79" s="125"/>
      <c r="AB79" s="6">
        <f>H79-U79</f>
        <v>118921</v>
      </c>
    </row>
    <row r="80" spans="1:28" x14ac:dyDescent="0.2">
      <c r="A80" s="95"/>
      <c r="B80" s="95"/>
      <c r="C80" s="26"/>
      <c r="D80" s="26"/>
      <c r="E80" s="26"/>
      <c r="F80" s="26"/>
      <c r="G80" s="26"/>
      <c r="H80" s="31"/>
      <c r="I80" s="31"/>
      <c r="J80" s="125"/>
      <c r="K80" s="26"/>
      <c r="L80" s="26"/>
      <c r="M80" s="26"/>
      <c r="N80" s="26"/>
      <c r="O80" s="26"/>
      <c r="P80" s="125"/>
      <c r="Q80" s="30"/>
      <c r="R80" s="26"/>
      <c r="S80" s="26"/>
      <c r="T80" s="26"/>
      <c r="U80" s="31"/>
      <c r="V80" s="31"/>
      <c r="W80" s="125"/>
      <c r="X80" s="26"/>
      <c r="Y80" s="26"/>
      <c r="Z80" s="26"/>
      <c r="AA80" s="125"/>
      <c r="AB80" s="10"/>
    </row>
    <row r="81" spans="1:28" x14ac:dyDescent="0.2">
      <c r="A81" s="88"/>
      <c r="B81" s="32"/>
      <c r="C81" s="192"/>
      <c r="D81" s="189"/>
      <c r="E81" s="192"/>
      <c r="F81" s="192"/>
      <c r="G81" s="192"/>
      <c r="H81" s="192"/>
      <c r="I81" s="184"/>
      <c r="J81" s="125"/>
      <c r="K81" s="207"/>
      <c r="L81" s="200"/>
      <c r="M81" s="207"/>
      <c r="N81" s="207"/>
      <c r="O81" s="207"/>
      <c r="P81" s="125"/>
      <c r="Q81" s="160"/>
      <c r="R81" s="152"/>
      <c r="S81" s="160"/>
      <c r="T81" s="160"/>
      <c r="U81" s="160"/>
      <c r="V81" s="188"/>
      <c r="W81" s="125"/>
      <c r="X81" s="200"/>
      <c r="Y81" s="207"/>
      <c r="Z81" s="207"/>
      <c r="AA81" s="125"/>
      <c r="AB81" s="4"/>
    </row>
    <row r="82" spans="1:28" x14ac:dyDescent="0.2">
      <c r="A82" s="88"/>
      <c r="B82" s="87" t="s">
        <v>48</v>
      </c>
      <c r="C82" s="193">
        <f t="shared" ref="C82:T82" si="32">SUM(C6,C11,C17,C23,C27,C32,C36,C42,C46,C50,C56,C60,C64,C71,C75,C79)</f>
        <v>43999278.340000004</v>
      </c>
      <c r="D82" s="193">
        <f t="shared" si="32"/>
        <v>1384328.32</v>
      </c>
      <c r="E82" s="193">
        <f t="shared" si="32"/>
        <v>7635194.5999999996</v>
      </c>
      <c r="F82" s="193">
        <f t="shared" si="32"/>
        <v>28971676.280000001</v>
      </c>
      <c r="G82" s="193">
        <f t="shared" si="32"/>
        <v>3387919.02</v>
      </c>
      <c r="H82" s="191">
        <f>SUM(C82,D82,E82,F82,G82)</f>
        <v>85378396.560000002</v>
      </c>
      <c r="I82" s="202"/>
      <c r="J82" s="151"/>
      <c r="K82" s="200">
        <f>C82/H82</f>
        <v>0.51534439756173378</v>
      </c>
      <c r="L82" s="200">
        <f>D82/H82</f>
        <v>1.6214035116332477E-2</v>
      </c>
      <c r="M82" s="200">
        <f>E82/H82</f>
        <v>8.9427711313767019E-2</v>
      </c>
      <c r="N82" s="200">
        <f>F82/H82</f>
        <v>0.33933263503771754</v>
      </c>
      <c r="O82" s="200">
        <f>G82/H82</f>
        <v>3.9681220970449203E-2</v>
      </c>
      <c r="P82" s="151"/>
      <c r="Q82" s="161">
        <f t="shared" si="32"/>
        <v>57512048.080000006</v>
      </c>
      <c r="R82" s="161">
        <f t="shared" si="32"/>
        <v>14522188.709999999</v>
      </c>
      <c r="S82" s="161">
        <f t="shared" si="32"/>
        <v>10757816.33</v>
      </c>
      <c r="T82" s="161">
        <f t="shared" si="32"/>
        <v>687444.11</v>
      </c>
      <c r="U82" s="155">
        <f>SUM(Q82,R82,S82,T82)</f>
        <v>83479497.230000004</v>
      </c>
      <c r="V82" s="202"/>
      <c r="W82" s="151"/>
      <c r="X82" s="200">
        <f>(Q82+R82)/U82</f>
        <v>0.8628973482139406</v>
      </c>
      <c r="Y82" s="200">
        <f>S82/U82</f>
        <v>0.12886776618168186</v>
      </c>
      <c r="Z82" s="200">
        <f>T82/U82</f>
        <v>8.2348856043775193E-3</v>
      </c>
      <c r="AA82" s="151"/>
      <c r="AB82" s="64">
        <f>SUM(AB6,AB11,AB17,AB23,AB27,AB32,AB36,AB42,AB46,AB50,AB56,AB60,AB64,AB71,AB75,AB79)</f>
        <v>1898899.3300000033</v>
      </c>
    </row>
    <row r="83" spans="1:28" x14ac:dyDescent="0.2">
      <c r="D83" s="1"/>
    </row>
  </sheetData>
  <mergeCells count="9">
    <mergeCell ref="X1:Z1"/>
    <mergeCell ref="K1:O1"/>
    <mergeCell ref="C22:D22"/>
    <mergeCell ref="C23:D23"/>
    <mergeCell ref="Q1:V1"/>
    <mergeCell ref="C1:I1"/>
    <mergeCell ref="C19:D19"/>
    <mergeCell ref="C20:D20"/>
    <mergeCell ref="C21:D21"/>
  </mergeCells>
  <pageMargins left="0.7" right="0.7" top="0.75" bottom="0.75" header="0.3" footer="0.3"/>
  <pageSetup paperSize="5" scale="58" fitToHeight="0" orientation="landscape" r:id="rId1"/>
  <headerFooter>
    <oddHeader>&amp;CSolicitor's Offices Revenue and Expenses (FY16-17)</oddHeader>
    <oddFooter>&amp;LData and analysis based on reports submitted by Commission on Indigent Defense and Commission on Prosecution Coordination pursuant to FY15-16 Proviso 117.110 and FY16-17 Proviso 117.109</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2"/>
  <sheetViews>
    <sheetView workbookViewId="0">
      <selection activeCell="E27" sqref="E27"/>
    </sheetView>
  </sheetViews>
  <sheetFormatPr defaultRowHeight="15.75" x14ac:dyDescent="0.2"/>
  <cols>
    <col min="1" max="1" width="19.42578125" style="228" customWidth="1"/>
    <col min="2" max="2" width="16.5703125" style="227" bestFit="1" customWidth="1"/>
    <col min="3" max="3" width="15.42578125" style="226" bestFit="1" customWidth="1"/>
    <col min="4" max="9" width="15.42578125" style="227" bestFit="1" customWidth="1"/>
    <col min="10" max="10" width="15.42578125" style="228" bestFit="1" customWidth="1"/>
    <col min="11" max="11" width="15.42578125" style="226" bestFit="1" customWidth="1"/>
    <col min="12" max="18" width="15.42578125" style="227" bestFit="1" customWidth="1"/>
    <col min="19" max="22" width="9.140625" style="227"/>
    <col min="23" max="23" width="9.140625" style="228"/>
    <col min="24" max="24" width="14" style="226" bestFit="1" customWidth="1"/>
    <col min="25" max="16384" width="9.140625" style="228"/>
  </cols>
  <sheetData>
    <row r="1" spans="1:18" x14ac:dyDescent="0.2">
      <c r="A1" s="224" t="s">
        <v>189</v>
      </c>
      <c r="B1" s="225" t="s">
        <v>190</v>
      </c>
    </row>
    <row r="2" spans="1:18" x14ac:dyDescent="0.2">
      <c r="A2" s="224" t="s">
        <v>191</v>
      </c>
      <c r="B2" s="229" t="s">
        <v>192</v>
      </c>
      <c r="C2" s="230"/>
    </row>
    <row r="3" spans="1:18" x14ac:dyDescent="0.2">
      <c r="A3" s="231" t="s">
        <v>79</v>
      </c>
      <c r="B3" s="232"/>
      <c r="C3" s="232">
        <v>1</v>
      </c>
      <c r="D3" s="232">
        <v>2</v>
      </c>
      <c r="E3" s="232">
        <v>3</v>
      </c>
      <c r="F3" s="232">
        <v>4</v>
      </c>
      <c r="G3" s="232">
        <v>5</v>
      </c>
      <c r="H3" s="232">
        <v>6</v>
      </c>
      <c r="I3" s="232">
        <v>7</v>
      </c>
      <c r="J3" s="232">
        <v>8</v>
      </c>
      <c r="K3" s="232">
        <v>9</v>
      </c>
      <c r="L3" s="232">
        <v>10</v>
      </c>
      <c r="M3" s="232">
        <v>11</v>
      </c>
      <c r="N3" s="232">
        <v>12</v>
      </c>
      <c r="O3" s="232">
        <v>13</v>
      </c>
      <c r="P3" s="232">
        <v>14</v>
      </c>
      <c r="Q3" s="232">
        <v>15</v>
      </c>
      <c r="R3" s="232">
        <v>16</v>
      </c>
    </row>
    <row r="4" spans="1:18" ht="78.75" x14ac:dyDescent="0.2">
      <c r="A4" s="231" t="s">
        <v>193</v>
      </c>
      <c r="B4" s="233" t="s">
        <v>48</v>
      </c>
      <c r="C4" s="232" t="s">
        <v>194</v>
      </c>
      <c r="D4" s="232" t="s">
        <v>195</v>
      </c>
      <c r="E4" s="232" t="s">
        <v>196</v>
      </c>
      <c r="F4" s="232" t="s">
        <v>197</v>
      </c>
      <c r="G4" s="232" t="s">
        <v>198</v>
      </c>
      <c r="H4" s="232" t="s">
        <v>199</v>
      </c>
      <c r="I4" s="232" t="s">
        <v>200</v>
      </c>
      <c r="J4" s="232" t="s">
        <v>201</v>
      </c>
      <c r="K4" s="232" t="s">
        <v>202</v>
      </c>
      <c r="L4" s="232" t="s">
        <v>203</v>
      </c>
      <c r="M4" s="232" t="s">
        <v>204</v>
      </c>
      <c r="N4" s="232" t="s">
        <v>205</v>
      </c>
      <c r="O4" s="232" t="s">
        <v>206</v>
      </c>
      <c r="P4" s="232" t="s">
        <v>207</v>
      </c>
      <c r="Q4" s="232" t="s">
        <v>208</v>
      </c>
      <c r="R4" s="232" t="s">
        <v>209</v>
      </c>
    </row>
    <row r="5" spans="1:18" x14ac:dyDescent="0.2">
      <c r="A5" s="234" t="s">
        <v>210</v>
      </c>
      <c r="B5" s="258">
        <v>28946281.450000003</v>
      </c>
      <c r="C5" s="259">
        <v>1932462.53</v>
      </c>
      <c r="D5" s="259">
        <v>1101705.6500000001</v>
      </c>
      <c r="E5" s="259">
        <v>871635.96</v>
      </c>
      <c r="F5" s="259">
        <v>894009.57</v>
      </c>
      <c r="G5" s="259">
        <v>2967017.3</v>
      </c>
      <c r="H5" s="259">
        <v>775904.01</v>
      </c>
      <c r="I5" s="259">
        <v>2121935.2800000003</v>
      </c>
      <c r="J5" s="259">
        <v>839830.11</v>
      </c>
      <c r="K5" s="259">
        <v>5274593.67</v>
      </c>
      <c r="L5" s="259">
        <v>1205081.75</v>
      </c>
      <c r="M5" s="259">
        <v>1431498.62</v>
      </c>
      <c r="N5" s="259">
        <v>1237239.3799999999</v>
      </c>
      <c r="O5" s="259">
        <v>2304185.37</v>
      </c>
      <c r="P5" s="259">
        <v>1898335.4100000001</v>
      </c>
      <c r="Q5" s="259">
        <v>1955220.44</v>
      </c>
      <c r="R5" s="259">
        <v>2135626.4</v>
      </c>
    </row>
    <row r="6" spans="1:18" x14ac:dyDescent="0.2">
      <c r="A6" s="235" t="s">
        <v>80</v>
      </c>
      <c r="B6" s="260">
        <v>0.57102529831167648</v>
      </c>
      <c r="C6" s="261">
        <v>0.66542920239700587</v>
      </c>
      <c r="D6" s="261">
        <v>0.50576213347004251</v>
      </c>
      <c r="E6" s="261">
        <v>0.42661502859519473</v>
      </c>
      <c r="F6" s="261">
        <v>0.49701928805974643</v>
      </c>
      <c r="G6" s="261">
        <v>0.57891472355081997</v>
      </c>
      <c r="H6" s="261">
        <v>0.56061058377569151</v>
      </c>
      <c r="I6" s="261">
        <v>0.59199213653679383</v>
      </c>
      <c r="J6" s="261">
        <v>0.3956335883218095</v>
      </c>
      <c r="K6" s="261">
        <v>0.66553581557686126</v>
      </c>
      <c r="L6" s="261">
        <v>0.44708585122959499</v>
      </c>
      <c r="M6" s="261">
        <v>0.43110904291336305</v>
      </c>
      <c r="N6" s="261">
        <v>0.63370436851112844</v>
      </c>
      <c r="O6" s="261">
        <v>0.36894210468839145</v>
      </c>
      <c r="P6" s="261">
        <v>0.65435960023523976</v>
      </c>
      <c r="Q6" s="261">
        <v>0.57050037795226816</v>
      </c>
      <c r="R6" s="261">
        <v>0.68857689715766768</v>
      </c>
    </row>
    <row r="7" spans="1:18" x14ac:dyDescent="0.2">
      <c r="A7" s="235" t="s">
        <v>81</v>
      </c>
      <c r="B7" s="260">
        <v>0.40730847554168315</v>
      </c>
      <c r="C7" s="261">
        <v>0.32215141061493185</v>
      </c>
      <c r="D7" s="261">
        <v>0.45974589492211465</v>
      </c>
      <c r="E7" s="261">
        <v>0.57338497140480527</v>
      </c>
      <c r="F7" s="261">
        <v>0.50298071194025362</v>
      </c>
      <c r="G7" s="261">
        <v>0.38333692897577648</v>
      </c>
      <c r="H7" s="261">
        <v>0.43938941622430849</v>
      </c>
      <c r="I7" s="261">
        <v>0.40800786346320606</v>
      </c>
      <c r="J7" s="261">
        <v>0.6043664116781905</v>
      </c>
      <c r="K7" s="261">
        <v>0.25518666919417887</v>
      </c>
      <c r="L7" s="261">
        <v>0.55291414877040501</v>
      </c>
      <c r="M7" s="261">
        <v>0.56889095708663684</v>
      </c>
      <c r="N7" s="261">
        <v>0.35013061094127157</v>
      </c>
      <c r="O7" s="261">
        <v>0.63105789531160861</v>
      </c>
      <c r="P7" s="261">
        <v>0.3456403997647603</v>
      </c>
      <c r="Q7" s="261">
        <v>0.42949962204773184</v>
      </c>
      <c r="R7" s="261">
        <v>0.30439940244229985</v>
      </c>
    </row>
    <row r="8" spans="1:18" x14ac:dyDescent="0.2">
      <c r="A8" s="235" t="s">
        <v>82</v>
      </c>
      <c r="B8" s="260">
        <v>1.2718617437473993E-2</v>
      </c>
      <c r="C8" s="261">
        <v>0</v>
      </c>
      <c r="D8" s="261">
        <v>0</v>
      </c>
      <c r="E8" s="261">
        <v>0</v>
      </c>
      <c r="F8" s="261">
        <v>0</v>
      </c>
      <c r="G8" s="261">
        <v>0</v>
      </c>
      <c r="H8" s="261">
        <v>0</v>
      </c>
      <c r="I8" s="261">
        <v>0</v>
      </c>
      <c r="J8" s="261">
        <v>0</v>
      </c>
      <c r="K8" s="261">
        <v>6.9798112050591374E-2</v>
      </c>
      <c r="L8" s="261">
        <v>0</v>
      </c>
      <c r="M8" s="261">
        <v>0</v>
      </c>
      <c r="N8" s="261">
        <v>0</v>
      </c>
      <c r="O8" s="261">
        <v>0</v>
      </c>
      <c r="P8" s="261">
        <v>0</v>
      </c>
      <c r="Q8" s="261">
        <v>0</v>
      </c>
      <c r="R8" s="261">
        <v>0</v>
      </c>
    </row>
    <row r="9" spans="1:18" x14ac:dyDescent="0.2">
      <c r="A9" s="235" t="s">
        <v>183</v>
      </c>
      <c r="B9" s="260">
        <v>8.5330476878922208E-3</v>
      </c>
      <c r="C9" s="261">
        <v>1.2419386988062324E-2</v>
      </c>
      <c r="D9" s="261">
        <v>3.44919716078428E-2</v>
      </c>
      <c r="E9" s="261">
        <v>0</v>
      </c>
      <c r="F9" s="261">
        <v>0</v>
      </c>
      <c r="G9" s="261">
        <v>3.370388167268186E-2</v>
      </c>
      <c r="H9" s="261">
        <v>0</v>
      </c>
      <c r="I9" s="261">
        <v>0</v>
      </c>
      <c r="J9" s="261">
        <v>0</v>
      </c>
      <c r="K9" s="261">
        <v>9.4794031783684302E-3</v>
      </c>
      <c r="L9" s="261">
        <v>0</v>
      </c>
      <c r="M9" s="261">
        <v>0</v>
      </c>
      <c r="N9" s="261">
        <v>1.6165020547600096E-2</v>
      </c>
      <c r="O9" s="261">
        <v>0</v>
      </c>
      <c r="P9" s="261">
        <v>0</v>
      </c>
      <c r="Q9" s="261">
        <v>0</v>
      </c>
      <c r="R9" s="261">
        <v>7.0237004000325157E-3</v>
      </c>
    </row>
    <row r="10" spans="1:18" x14ac:dyDescent="0.2">
      <c r="A10" s="235" t="s">
        <v>182</v>
      </c>
      <c r="B10" s="260">
        <v>0</v>
      </c>
      <c r="C10" s="261">
        <v>0</v>
      </c>
      <c r="D10" s="261">
        <v>0</v>
      </c>
      <c r="E10" s="261">
        <v>0</v>
      </c>
      <c r="F10" s="261">
        <v>0</v>
      </c>
      <c r="G10" s="261">
        <v>0</v>
      </c>
      <c r="H10" s="261">
        <v>0</v>
      </c>
      <c r="I10" s="261">
        <v>0</v>
      </c>
      <c r="J10" s="261">
        <v>0</v>
      </c>
      <c r="K10" s="261">
        <v>0</v>
      </c>
      <c r="L10" s="261">
        <v>0</v>
      </c>
      <c r="M10" s="261">
        <v>0</v>
      </c>
      <c r="N10" s="261">
        <v>0</v>
      </c>
      <c r="O10" s="261">
        <v>0</v>
      </c>
      <c r="P10" s="261">
        <v>0</v>
      </c>
      <c r="Q10" s="261">
        <v>0</v>
      </c>
      <c r="R10" s="261">
        <v>0</v>
      </c>
    </row>
    <row r="11" spans="1:18" x14ac:dyDescent="0.2">
      <c r="A11" s="235" t="s">
        <v>83</v>
      </c>
      <c r="B11" s="260">
        <v>4.1456102127411596E-4</v>
      </c>
      <c r="C11" s="261">
        <v>0</v>
      </c>
      <c r="D11" s="261">
        <v>0</v>
      </c>
      <c r="E11" s="261">
        <v>0</v>
      </c>
      <c r="F11" s="261">
        <v>0</v>
      </c>
      <c r="G11" s="261">
        <v>4.0444658007218227E-3</v>
      </c>
      <c r="H11" s="261">
        <v>0</v>
      </c>
      <c r="I11" s="261">
        <v>0</v>
      </c>
      <c r="J11" s="261">
        <v>0</v>
      </c>
      <c r="K11" s="261">
        <v>0</v>
      </c>
      <c r="L11" s="261">
        <v>0</v>
      </c>
      <c r="M11" s="261">
        <v>0</v>
      </c>
      <c r="N11" s="261">
        <v>0</v>
      </c>
      <c r="O11" s="261">
        <v>0</v>
      </c>
      <c r="P11" s="261">
        <v>0</v>
      </c>
      <c r="Q11" s="261">
        <v>0</v>
      </c>
      <c r="R11" s="261">
        <v>0</v>
      </c>
    </row>
    <row r="12" spans="1:18" x14ac:dyDescent="0.2">
      <c r="A12" s="236"/>
      <c r="B12" s="237"/>
      <c r="C12" s="238"/>
      <c r="D12" s="238"/>
      <c r="E12" s="238"/>
      <c r="F12" s="238"/>
      <c r="G12" s="238"/>
      <c r="H12" s="238"/>
      <c r="I12" s="238"/>
      <c r="J12" s="238"/>
      <c r="K12" s="238"/>
      <c r="L12" s="238"/>
      <c r="M12" s="238"/>
      <c r="N12" s="238"/>
      <c r="O12" s="238"/>
      <c r="P12" s="238"/>
      <c r="Q12" s="238"/>
      <c r="R12" s="238"/>
    </row>
    <row r="13" spans="1:18" x14ac:dyDescent="0.2">
      <c r="A13" s="234" t="s">
        <v>211</v>
      </c>
      <c r="B13" s="262">
        <v>27889838.080000002</v>
      </c>
      <c r="C13" s="263">
        <v>1750031.29</v>
      </c>
      <c r="D13" s="263">
        <v>1360540.16</v>
      </c>
      <c r="E13" s="263">
        <v>926496.23</v>
      </c>
      <c r="F13" s="263">
        <v>841453.15999999992</v>
      </c>
      <c r="G13" s="263">
        <v>3145171.9199999995</v>
      </c>
      <c r="H13" s="263">
        <v>893102.9700000002</v>
      </c>
      <c r="I13" s="263">
        <v>2109030.91</v>
      </c>
      <c r="J13" s="263">
        <v>715716.37999999989</v>
      </c>
      <c r="K13" s="263">
        <v>5305609</v>
      </c>
      <c r="L13" s="263">
        <v>1078459.01</v>
      </c>
      <c r="M13" s="263">
        <v>1469485</v>
      </c>
      <c r="N13" s="263">
        <v>865843</v>
      </c>
      <c r="O13" s="263">
        <v>1928609</v>
      </c>
      <c r="P13" s="263">
        <v>1835996.54</v>
      </c>
      <c r="Q13" s="263">
        <v>1728662</v>
      </c>
      <c r="R13" s="263">
        <v>1935631.51</v>
      </c>
    </row>
    <row r="14" spans="1:18" x14ac:dyDescent="0.2">
      <c r="A14" s="235" t="s">
        <v>184</v>
      </c>
      <c r="B14" s="264">
        <v>0.89655409932017771</v>
      </c>
      <c r="C14" s="265">
        <v>0.88539674053485062</v>
      </c>
      <c r="D14" s="265">
        <v>0.82363386465563793</v>
      </c>
      <c r="E14" s="265">
        <v>0.96232639824125354</v>
      </c>
      <c r="F14" s="265">
        <v>0.80303198338455362</v>
      </c>
      <c r="G14" s="265">
        <v>0.94007395945465522</v>
      </c>
      <c r="H14" s="265">
        <v>0.89927356304727091</v>
      </c>
      <c r="I14" s="265">
        <v>0.92119228352134486</v>
      </c>
      <c r="J14" s="265">
        <v>0.84521062658926438</v>
      </c>
      <c r="K14" s="265">
        <v>0.85147228150434762</v>
      </c>
      <c r="L14" s="265">
        <v>0.92398535388006997</v>
      </c>
      <c r="M14" s="265">
        <v>0.82109922864132667</v>
      </c>
      <c r="N14" s="265">
        <v>0.93184676667709965</v>
      </c>
      <c r="O14" s="265">
        <v>0.94597505248601454</v>
      </c>
      <c r="P14" s="265">
        <v>0.87889419987686901</v>
      </c>
      <c r="Q14" s="265">
        <v>0.9326646851726943</v>
      </c>
      <c r="R14" s="265">
        <v>0.97228314391306847</v>
      </c>
    </row>
    <row r="15" spans="1:18" x14ac:dyDescent="0.2">
      <c r="A15" s="235" t="s">
        <v>142</v>
      </c>
      <c r="B15" s="264">
        <v>5.8808050276066715E-3</v>
      </c>
      <c r="C15" s="265">
        <v>3.9176442382353061E-3</v>
      </c>
      <c r="D15" s="265">
        <v>1.2052198444476641E-2</v>
      </c>
      <c r="E15" s="265">
        <v>0</v>
      </c>
      <c r="F15" s="265">
        <v>1.8684937852036828E-3</v>
      </c>
      <c r="G15" s="265">
        <v>5.8539788820192711E-3</v>
      </c>
      <c r="H15" s="265">
        <v>0</v>
      </c>
      <c r="I15" s="265">
        <v>0</v>
      </c>
      <c r="J15" s="265">
        <v>0</v>
      </c>
      <c r="K15" s="265">
        <v>5.3614957302733765E-3</v>
      </c>
      <c r="L15" s="265">
        <v>0</v>
      </c>
      <c r="M15" s="265">
        <v>1.8686818851502397E-2</v>
      </c>
      <c r="N15" s="265">
        <v>4.451153384620537E-3</v>
      </c>
      <c r="O15" s="265">
        <v>1.1376074673508211E-3</v>
      </c>
      <c r="P15" s="265">
        <v>2.8116485448278675E-2</v>
      </c>
      <c r="Q15" s="265">
        <v>2.8924104307261919E-3</v>
      </c>
      <c r="R15" s="265">
        <v>1.1373084125914027E-3</v>
      </c>
    </row>
    <row r="16" spans="1:18" ht="47.25" x14ac:dyDescent="0.2">
      <c r="A16" s="235" t="s">
        <v>143</v>
      </c>
      <c r="B16" s="264">
        <v>6.0532352147667969E-3</v>
      </c>
      <c r="C16" s="265">
        <v>3.4130818312397143E-3</v>
      </c>
      <c r="D16" s="265">
        <v>4.4100131524232259E-3</v>
      </c>
      <c r="E16" s="265">
        <v>3.8416562148342473E-3</v>
      </c>
      <c r="F16" s="265">
        <v>9.5121670230580629E-2</v>
      </c>
      <c r="G16" s="265">
        <v>0</v>
      </c>
      <c r="H16" s="265">
        <v>1.887050045304406E-3</v>
      </c>
      <c r="I16" s="265">
        <v>5.2205493754475122E-3</v>
      </c>
      <c r="J16" s="265">
        <v>2.5993452881433288E-2</v>
      </c>
      <c r="K16" s="265">
        <v>3.1085969584264501E-3</v>
      </c>
      <c r="L16" s="265">
        <v>0</v>
      </c>
      <c r="M16" s="265">
        <v>1.206681252275457E-2</v>
      </c>
      <c r="N16" s="265">
        <v>7.2761459063594664E-5</v>
      </c>
      <c r="O16" s="265">
        <v>1.8080388507986844E-3</v>
      </c>
      <c r="P16" s="265">
        <v>1.949731343175625E-4</v>
      </c>
      <c r="Q16" s="265">
        <v>1.735446258435715E-3</v>
      </c>
      <c r="R16" s="265">
        <v>4.2285941088032812E-4</v>
      </c>
    </row>
    <row r="17" spans="1:18" x14ac:dyDescent="0.2">
      <c r="A17" s="235" t="s">
        <v>144</v>
      </c>
      <c r="B17" s="264">
        <v>1.3122005188780212E-3</v>
      </c>
      <c r="C17" s="265">
        <v>2.6816663375201708E-3</v>
      </c>
      <c r="D17" s="265">
        <v>3.741381658296658E-4</v>
      </c>
      <c r="E17" s="265">
        <v>3.7179967801919712E-3</v>
      </c>
      <c r="F17" s="265">
        <v>8.6992364494774743E-4</v>
      </c>
      <c r="G17" s="265">
        <v>4.2124565324238309E-4</v>
      </c>
      <c r="H17" s="265">
        <v>1.7113704145446966E-3</v>
      </c>
      <c r="I17" s="265">
        <v>4.2389136914072062E-4</v>
      </c>
      <c r="J17" s="265">
        <v>4.2880253767560838E-3</v>
      </c>
      <c r="K17" s="265">
        <v>1.8348506269497055E-3</v>
      </c>
      <c r="L17" s="265">
        <v>0</v>
      </c>
      <c r="M17" s="265">
        <v>1.050027730803649E-3</v>
      </c>
      <c r="N17" s="265">
        <v>7.1144537751070347E-4</v>
      </c>
      <c r="O17" s="265">
        <v>4.1480673376511257E-4</v>
      </c>
      <c r="P17" s="265">
        <v>9.4968043894026071E-4</v>
      </c>
      <c r="Q17" s="265">
        <v>1.4462052153630959E-3</v>
      </c>
      <c r="R17" s="265">
        <v>1.7897931409475763E-3</v>
      </c>
    </row>
    <row r="18" spans="1:18" x14ac:dyDescent="0.2">
      <c r="A18" s="235" t="s">
        <v>145</v>
      </c>
      <c r="B18" s="264">
        <v>8.3861333052242647E-3</v>
      </c>
      <c r="C18" s="265">
        <v>3.0788020938757044E-2</v>
      </c>
      <c r="D18" s="265">
        <v>4.6158137662029766E-2</v>
      </c>
      <c r="E18" s="265">
        <v>0</v>
      </c>
      <c r="F18" s="265">
        <v>6.9522586379020795E-3</v>
      </c>
      <c r="G18" s="265">
        <v>3.4223884333801384E-3</v>
      </c>
      <c r="H18" s="265">
        <v>0</v>
      </c>
      <c r="I18" s="265">
        <v>6.0691381711423086E-3</v>
      </c>
      <c r="J18" s="265">
        <v>3.2037830404272713E-3</v>
      </c>
      <c r="K18" s="265">
        <v>5.6398803605768912E-3</v>
      </c>
      <c r="L18" s="265">
        <v>0</v>
      </c>
      <c r="M18" s="265">
        <v>2.0268325297638289E-2</v>
      </c>
      <c r="N18" s="265">
        <v>8.3155953215536763E-3</v>
      </c>
      <c r="O18" s="265">
        <v>0</v>
      </c>
      <c r="P18" s="265">
        <v>0</v>
      </c>
      <c r="Q18" s="265">
        <v>9.8341954644690522E-3</v>
      </c>
      <c r="R18" s="265">
        <v>8.2345218692993899E-4</v>
      </c>
    </row>
    <row r="19" spans="1:18" x14ac:dyDescent="0.2">
      <c r="A19" s="235" t="s">
        <v>146</v>
      </c>
      <c r="B19" s="264">
        <v>1.0598942853382101E-3</v>
      </c>
      <c r="C19" s="265">
        <v>3.2582274571787799E-3</v>
      </c>
      <c r="D19" s="265">
        <v>0</v>
      </c>
      <c r="E19" s="265">
        <v>0</v>
      </c>
      <c r="F19" s="265">
        <v>8.1741091803612699E-3</v>
      </c>
      <c r="G19" s="265">
        <v>4.8364605773283144E-4</v>
      </c>
      <c r="H19" s="265">
        <v>0</v>
      </c>
      <c r="I19" s="265">
        <v>2.2052782526549124E-3</v>
      </c>
      <c r="J19" s="265">
        <v>0</v>
      </c>
      <c r="K19" s="265">
        <v>6.0219288681092025E-4</v>
      </c>
      <c r="L19" s="265">
        <v>0</v>
      </c>
      <c r="M19" s="265">
        <v>4.0762580087581705E-3</v>
      </c>
      <c r="N19" s="265">
        <v>1.8744737787335579E-3</v>
      </c>
      <c r="O19" s="265">
        <v>0</v>
      </c>
      <c r="P19" s="265">
        <v>0</v>
      </c>
      <c r="Q19" s="265">
        <v>0</v>
      </c>
      <c r="R19" s="265">
        <v>0</v>
      </c>
    </row>
    <row r="20" spans="1:18" x14ac:dyDescent="0.2">
      <c r="A20" s="235" t="s">
        <v>147</v>
      </c>
      <c r="B20" s="264">
        <v>6.1898028774787341E-3</v>
      </c>
      <c r="C20" s="265">
        <v>1.5452295141534298E-2</v>
      </c>
      <c r="D20" s="265">
        <v>2.3402102294429882E-3</v>
      </c>
      <c r="E20" s="265">
        <v>3.7122223368356287E-3</v>
      </c>
      <c r="F20" s="265">
        <v>5.99801657408952E-3</v>
      </c>
      <c r="G20" s="265">
        <v>4.7096153650004616E-3</v>
      </c>
      <c r="H20" s="265">
        <v>1.3410469343753272E-2</v>
      </c>
      <c r="I20" s="265">
        <v>4.8458275085214372E-3</v>
      </c>
      <c r="J20" s="265">
        <v>5.8975875332069397E-3</v>
      </c>
      <c r="K20" s="265">
        <v>8.8067175700282472E-3</v>
      </c>
      <c r="L20" s="265">
        <v>0</v>
      </c>
      <c r="M20" s="265">
        <v>4.9513945361810427E-3</v>
      </c>
      <c r="N20" s="265">
        <v>1.5880477176578201E-3</v>
      </c>
      <c r="O20" s="265">
        <v>1.8111499013019228E-3</v>
      </c>
      <c r="P20" s="265">
        <v>6.3621525125532093E-3</v>
      </c>
      <c r="Q20" s="265">
        <v>7.8095081629607176E-3</v>
      </c>
      <c r="R20" s="265">
        <v>4.4635923497649615E-3</v>
      </c>
    </row>
    <row r="21" spans="1:18" x14ac:dyDescent="0.2">
      <c r="A21" s="235" t="s">
        <v>148</v>
      </c>
      <c r="B21" s="264">
        <v>2.5961272988502052E-3</v>
      </c>
      <c r="C21" s="265">
        <v>3.0285172786824856E-4</v>
      </c>
      <c r="D21" s="265">
        <v>0</v>
      </c>
      <c r="E21" s="265">
        <v>0</v>
      </c>
      <c r="F21" s="265">
        <v>0</v>
      </c>
      <c r="G21" s="265">
        <v>9.7653485345882156E-4</v>
      </c>
      <c r="H21" s="265">
        <v>2.1926810970072123E-3</v>
      </c>
      <c r="I21" s="265">
        <v>1.5751310159792774E-3</v>
      </c>
      <c r="J21" s="265">
        <v>4.9877578601736075E-3</v>
      </c>
      <c r="K21" s="265">
        <v>2.5863194969700932E-3</v>
      </c>
      <c r="L21" s="265">
        <v>7.4581415940880311E-3</v>
      </c>
      <c r="M21" s="265">
        <v>0</v>
      </c>
      <c r="N21" s="265">
        <v>1.0302098648369278E-2</v>
      </c>
      <c r="O21" s="265">
        <v>1.0707717323729174E-2</v>
      </c>
      <c r="P21" s="265">
        <v>0</v>
      </c>
      <c r="Q21" s="265">
        <v>3.7601335599440492E-3</v>
      </c>
      <c r="R21" s="265">
        <v>1.0941080412562615E-3</v>
      </c>
    </row>
    <row r="22" spans="1:18" x14ac:dyDescent="0.2">
      <c r="A22" s="235" t="s">
        <v>149</v>
      </c>
      <c r="B22" s="264">
        <v>3.43295607257968E-2</v>
      </c>
      <c r="C22" s="265">
        <v>1.7560423162490998E-2</v>
      </c>
      <c r="D22" s="265">
        <v>1.7203233456923463E-2</v>
      </c>
      <c r="E22" s="265">
        <v>1.0793352067930163E-4</v>
      </c>
      <c r="F22" s="265">
        <v>1.8925592958733438E-2</v>
      </c>
      <c r="G22" s="265">
        <v>1.7611914836121267E-3</v>
      </c>
      <c r="H22" s="265">
        <v>5.7820130191706773E-2</v>
      </c>
      <c r="I22" s="265">
        <v>2.8278689381560553E-2</v>
      </c>
      <c r="J22" s="265">
        <v>4.793380584638849E-2</v>
      </c>
      <c r="K22" s="265">
        <v>8.0929069594084302E-2</v>
      </c>
      <c r="L22" s="265">
        <v>3.7258170804284903E-2</v>
      </c>
      <c r="M22" s="265">
        <v>9.6316056305440337E-2</v>
      </c>
      <c r="N22" s="265">
        <v>0</v>
      </c>
      <c r="O22" s="265">
        <v>1.5752285714730151E-3</v>
      </c>
      <c r="P22" s="265">
        <v>5.7378664776786562E-2</v>
      </c>
      <c r="Q22" s="265">
        <v>8.6772312921785748E-4</v>
      </c>
      <c r="R22" s="265">
        <v>7.841497682583189E-3</v>
      </c>
    </row>
    <row r="23" spans="1:18" x14ac:dyDescent="0.2">
      <c r="A23" s="235" t="s">
        <v>150</v>
      </c>
      <c r="B23" s="264">
        <v>9.2579619594550175E-3</v>
      </c>
      <c r="C23" s="265">
        <v>1.2030642034977557E-2</v>
      </c>
      <c r="D23" s="265">
        <v>2.0447466982525531E-3</v>
      </c>
      <c r="E23" s="265">
        <v>1.0718845558605241E-2</v>
      </c>
      <c r="F23" s="265">
        <v>1.2857328861894109E-2</v>
      </c>
      <c r="G23" s="265">
        <v>1.5194733774680277E-2</v>
      </c>
      <c r="H23" s="265">
        <v>8.7282880718670078E-3</v>
      </c>
      <c r="I23" s="265">
        <v>1.0613310546501187E-2</v>
      </c>
      <c r="J23" s="265">
        <v>2.2376433525246413E-2</v>
      </c>
      <c r="K23" s="265">
        <v>6.3357476964472879E-3</v>
      </c>
      <c r="L23" s="265">
        <v>8.4377523073408244E-3</v>
      </c>
      <c r="M23" s="265">
        <v>1.077860611030395E-2</v>
      </c>
      <c r="N23" s="265">
        <v>2.3098875893204657E-3</v>
      </c>
      <c r="O23" s="265">
        <v>5.4184129598067827E-3</v>
      </c>
      <c r="P23" s="265">
        <v>9.2751972179642549E-3</v>
      </c>
      <c r="Q23" s="265">
        <v>1.6718132289597388E-2</v>
      </c>
      <c r="R23" s="265">
        <v>1.3948935972839169E-3</v>
      </c>
    </row>
    <row r="24" spans="1:18" x14ac:dyDescent="0.2">
      <c r="A24" s="235" t="s">
        <v>151</v>
      </c>
      <c r="B24" s="264">
        <v>2.409364292730953E-3</v>
      </c>
      <c r="C24" s="265">
        <v>1.1712362011538663E-2</v>
      </c>
      <c r="D24" s="265">
        <v>1.4831116782322695E-2</v>
      </c>
      <c r="E24" s="265">
        <v>0</v>
      </c>
      <c r="F24" s="265">
        <v>5.6535529559363716E-4</v>
      </c>
      <c r="G24" s="265">
        <v>0</v>
      </c>
      <c r="H24" s="265">
        <v>5.8351614260111556E-4</v>
      </c>
      <c r="I24" s="265">
        <v>0</v>
      </c>
      <c r="J24" s="265">
        <v>7.0838116070502687E-4</v>
      </c>
      <c r="K24" s="265">
        <v>3.7620563445214302E-3</v>
      </c>
      <c r="L24" s="265">
        <v>0</v>
      </c>
      <c r="M24" s="265">
        <v>0</v>
      </c>
      <c r="N24" s="265">
        <v>0</v>
      </c>
      <c r="O24" s="265">
        <v>6.9687531272538911E-4</v>
      </c>
      <c r="P24" s="265">
        <v>2.0226563172063496E-3</v>
      </c>
      <c r="Q24" s="265">
        <v>0</v>
      </c>
      <c r="R24" s="265">
        <v>0</v>
      </c>
    </row>
    <row r="25" spans="1:18" x14ac:dyDescent="0.2">
      <c r="A25" s="235" t="s">
        <v>82</v>
      </c>
      <c r="B25" s="264">
        <v>2.5970815173696409E-2</v>
      </c>
      <c r="C25" s="265">
        <v>1.3486044583808556E-2</v>
      </c>
      <c r="D25" s="265">
        <v>7.6952340752661066E-2</v>
      </c>
      <c r="E25" s="265">
        <v>1.5574947347600107E-2</v>
      </c>
      <c r="F25" s="265">
        <v>4.5635267446140437E-2</v>
      </c>
      <c r="G25" s="265">
        <v>2.7102706042218518E-2</v>
      </c>
      <c r="H25" s="265">
        <v>1.4392931645944471E-2</v>
      </c>
      <c r="I25" s="265">
        <v>1.9575900857707201E-2</v>
      </c>
      <c r="J25" s="265">
        <v>3.9400146186398595E-2</v>
      </c>
      <c r="K25" s="265">
        <v>2.9560791230563731E-2</v>
      </c>
      <c r="L25" s="265">
        <v>2.2860581414216197E-2</v>
      </c>
      <c r="M25" s="265">
        <v>1.0706471995290867E-2</v>
      </c>
      <c r="N25" s="265">
        <v>3.8527770046070706E-2</v>
      </c>
      <c r="O25" s="265">
        <v>3.0455110393034564E-2</v>
      </c>
      <c r="P25" s="265">
        <v>1.6805990277084074E-2</v>
      </c>
      <c r="Q25" s="265">
        <v>2.2271560316591676E-2</v>
      </c>
      <c r="R25" s="265">
        <v>8.7493512646939706E-3</v>
      </c>
    </row>
    <row r="28" spans="1:18" x14ac:dyDescent="0.2">
      <c r="A28" s="224" t="s">
        <v>189</v>
      </c>
      <c r="B28" s="225" t="s">
        <v>190</v>
      </c>
    </row>
    <row r="29" spans="1:18" x14ac:dyDescent="0.2">
      <c r="A29" s="224" t="s">
        <v>191</v>
      </c>
      <c r="B29" s="229" t="s">
        <v>212</v>
      </c>
    </row>
    <row r="30" spans="1:18" x14ac:dyDescent="0.25">
      <c r="A30" s="239" t="s">
        <v>79</v>
      </c>
      <c r="B30" s="240"/>
      <c r="C30" s="240">
        <v>1</v>
      </c>
      <c r="D30" s="240">
        <v>2</v>
      </c>
      <c r="E30" s="240">
        <v>3</v>
      </c>
      <c r="F30" s="240">
        <v>4</v>
      </c>
      <c r="G30" s="240">
        <v>5</v>
      </c>
      <c r="H30" s="240">
        <v>6</v>
      </c>
      <c r="I30" s="240">
        <v>7</v>
      </c>
      <c r="J30" s="240">
        <v>8</v>
      </c>
      <c r="K30" s="240">
        <v>9</v>
      </c>
      <c r="L30" s="240">
        <v>10</v>
      </c>
      <c r="M30" s="240">
        <v>11</v>
      </c>
      <c r="N30" s="240">
        <v>12</v>
      </c>
      <c r="O30" s="240">
        <v>13</v>
      </c>
      <c r="P30" s="240">
        <v>14</v>
      </c>
      <c r="Q30" s="240">
        <v>15</v>
      </c>
      <c r="R30" s="240">
        <v>16</v>
      </c>
    </row>
    <row r="31" spans="1:18" ht="78.75" x14ac:dyDescent="0.25">
      <c r="A31" s="239" t="s">
        <v>176</v>
      </c>
      <c r="B31" s="241" t="s">
        <v>48</v>
      </c>
      <c r="C31" s="232" t="s">
        <v>194</v>
      </c>
      <c r="D31" s="232" t="s">
        <v>195</v>
      </c>
      <c r="E31" s="232" t="s">
        <v>196</v>
      </c>
      <c r="F31" s="232" t="s">
        <v>197</v>
      </c>
      <c r="G31" s="232" t="s">
        <v>198</v>
      </c>
      <c r="H31" s="232" t="s">
        <v>199</v>
      </c>
      <c r="I31" s="232" t="s">
        <v>200</v>
      </c>
      <c r="J31" s="232" t="s">
        <v>201</v>
      </c>
      <c r="K31" s="232" t="s">
        <v>202</v>
      </c>
      <c r="L31" s="232" t="s">
        <v>203</v>
      </c>
      <c r="M31" s="232" t="s">
        <v>204</v>
      </c>
      <c r="N31" s="232" t="s">
        <v>205</v>
      </c>
      <c r="O31" s="232" t="s">
        <v>206</v>
      </c>
      <c r="P31" s="232" t="s">
        <v>207</v>
      </c>
      <c r="Q31" s="232" t="s">
        <v>208</v>
      </c>
      <c r="R31" s="232" t="s">
        <v>209</v>
      </c>
    </row>
    <row r="32" spans="1:18" x14ac:dyDescent="0.2">
      <c r="A32" s="234" t="s">
        <v>210</v>
      </c>
      <c r="B32" s="266">
        <v>36696348.93</v>
      </c>
      <c r="C32" s="267">
        <v>2353289.3587571094</v>
      </c>
      <c r="D32" s="267">
        <v>1742792.7066283519</v>
      </c>
      <c r="E32" s="267">
        <v>1206367.938118038</v>
      </c>
      <c r="F32" s="267">
        <v>1201984.7987882034</v>
      </c>
      <c r="G32" s="267">
        <v>3729192.4205804383</v>
      </c>
      <c r="H32" s="267">
        <v>1016265.504633097</v>
      </c>
      <c r="I32" s="267">
        <v>2542014.3783692224</v>
      </c>
      <c r="J32" s="267">
        <v>1128562.9431472335</v>
      </c>
      <c r="K32" s="267">
        <v>6296064.7635298921</v>
      </c>
      <c r="L32" s="267">
        <v>1670136.4127863366</v>
      </c>
      <c r="M32" s="267">
        <v>1924913.1826883417</v>
      </c>
      <c r="N32" s="267">
        <v>1235661.8934479838</v>
      </c>
      <c r="O32" s="267">
        <v>3304571.3700948465</v>
      </c>
      <c r="P32" s="267">
        <v>2180284.6215428277</v>
      </c>
      <c r="Q32" s="267">
        <v>2574310.6560312612</v>
      </c>
      <c r="R32" s="267">
        <v>2589935.9808568144</v>
      </c>
    </row>
    <row r="33" spans="1:18" x14ac:dyDescent="0.2">
      <c r="A33" s="242" t="s">
        <v>80</v>
      </c>
      <c r="B33" s="268">
        <v>0.45349390130730921</v>
      </c>
      <c r="C33" s="269">
        <v>0.55029186920045936</v>
      </c>
      <c r="D33" s="269">
        <v>0.49100733365788746</v>
      </c>
      <c r="E33" s="269">
        <v>0.30824177951885834</v>
      </c>
      <c r="F33" s="269">
        <v>0.39508777521875987</v>
      </c>
      <c r="G33" s="269">
        <v>0.47400343040621923</v>
      </c>
      <c r="H33" s="269">
        <v>0.44266483310620197</v>
      </c>
      <c r="I33" s="269">
        <v>0.44769022932517133</v>
      </c>
      <c r="J33" s="269">
        <v>0.26802404051693013</v>
      </c>
      <c r="K33" s="269">
        <v>0.57267659965722995</v>
      </c>
      <c r="L33" s="269">
        <v>0.32258143459142929</v>
      </c>
      <c r="M33" s="269">
        <v>0.31665428107709515</v>
      </c>
      <c r="N33" s="269">
        <v>0.41481250066693665</v>
      </c>
      <c r="O33" s="269">
        <v>0.27738241888045262</v>
      </c>
      <c r="P33" s="269">
        <v>0.51405811375530275</v>
      </c>
      <c r="Q33" s="269">
        <v>0.47325834477111584</v>
      </c>
      <c r="R33" s="269">
        <v>0.56521666590218733</v>
      </c>
    </row>
    <row r="34" spans="1:18" x14ac:dyDescent="0.2">
      <c r="A34" s="242" t="s">
        <v>81</v>
      </c>
      <c r="B34" s="268">
        <v>0.5187922552272286</v>
      </c>
      <c r="C34" s="269">
        <v>0.42716521664298401</v>
      </c>
      <c r="D34" s="269">
        <v>0.46928628030043801</v>
      </c>
      <c r="E34" s="269">
        <v>0.66896252181320404</v>
      </c>
      <c r="F34" s="269">
        <v>0.60408026750440258</v>
      </c>
      <c r="G34" s="269">
        <v>0.4924772480081856</v>
      </c>
      <c r="H34" s="269">
        <v>0.54168964913538475</v>
      </c>
      <c r="I34" s="269">
        <v>0.54994943784152295</v>
      </c>
      <c r="J34" s="269">
        <v>0.72621642250777863</v>
      </c>
      <c r="K34" s="269">
        <v>0.34520567769880345</v>
      </c>
      <c r="L34" s="269">
        <v>0.64420249420906373</v>
      </c>
      <c r="M34" s="269">
        <v>0.68313791734328166</v>
      </c>
      <c r="N34" s="269">
        <v>0.56608842366751322</v>
      </c>
      <c r="O34" s="269">
        <v>0.71051313684517481</v>
      </c>
      <c r="P34" s="269">
        <v>0.48594188624469731</v>
      </c>
      <c r="Q34" s="269">
        <v>0.52674165522888428</v>
      </c>
      <c r="R34" s="269">
        <v>0.40530268262057406</v>
      </c>
    </row>
    <row r="35" spans="1:18" x14ac:dyDescent="0.2">
      <c r="A35" s="242" t="s">
        <v>182</v>
      </c>
      <c r="B35" s="268">
        <v>0</v>
      </c>
      <c r="C35" s="269">
        <v>0</v>
      </c>
      <c r="D35" s="269">
        <v>0</v>
      </c>
      <c r="E35" s="269">
        <v>0</v>
      </c>
      <c r="F35" s="269">
        <v>0</v>
      </c>
      <c r="G35" s="269">
        <v>0</v>
      </c>
      <c r="H35" s="269">
        <v>0</v>
      </c>
      <c r="I35" s="269">
        <v>0</v>
      </c>
      <c r="J35" s="269">
        <v>0</v>
      </c>
      <c r="K35" s="269">
        <v>0</v>
      </c>
      <c r="L35" s="269">
        <v>0</v>
      </c>
      <c r="M35" s="269">
        <v>0</v>
      </c>
      <c r="N35" s="269">
        <v>0</v>
      </c>
      <c r="O35" s="269">
        <v>0</v>
      </c>
      <c r="P35" s="269">
        <v>0</v>
      </c>
      <c r="Q35" s="269">
        <v>0</v>
      </c>
      <c r="R35" s="269">
        <v>0</v>
      </c>
    </row>
    <row r="36" spans="1:18" x14ac:dyDescent="0.2">
      <c r="A36" s="242" t="s">
        <v>183</v>
      </c>
      <c r="B36" s="268">
        <v>1.3884732810120464E-2</v>
      </c>
      <c r="C36" s="269">
        <v>2.2542914156556751E-2</v>
      </c>
      <c r="D36" s="269">
        <v>3.9706386041674431E-2</v>
      </c>
      <c r="E36" s="269">
        <v>2.2795698667937611E-2</v>
      </c>
      <c r="F36" s="269">
        <v>8.319572768375798E-4</v>
      </c>
      <c r="G36" s="269">
        <v>2.8156230131899992E-2</v>
      </c>
      <c r="H36" s="269">
        <v>1.5645517758413326E-2</v>
      </c>
      <c r="I36" s="269">
        <v>2.3603328333056785E-3</v>
      </c>
      <c r="J36" s="269">
        <v>5.7595369752912427E-3</v>
      </c>
      <c r="K36" s="269">
        <v>7.9414685010272146E-3</v>
      </c>
      <c r="L36" s="269">
        <v>3.2941021810437163E-2</v>
      </c>
      <c r="M36" s="269">
        <v>2.0780157962311751E-4</v>
      </c>
      <c r="N36" s="269">
        <v>2.913418321863581E-3</v>
      </c>
      <c r="O36" s="269">
        <v>1.2104444274372544E-2</v>
      </c>
      <c r="P36" s="269">
        <v>0</v>
      </c>
      <c r="Q36" s="269">
        <v>0</v>
      </c>
      <c r="R36" s="269">
        <v>2.9480651477238658E-2</v>
      </c>
    </row>
    <row r="37" spans="1:18" x14ac:dyDescent="0.2">
      <c r="A37" s="242" t="s">
        <v>82</v>
      </c>
      <c r="B37" s="268">
        <v>1.328409730706144E-2</v>
      </c>
      <c r="C37" s="269">
        <v>0</v>
      </c>
      <c r="D37" s="269">
        <v>0</v>
      </c>
      <c r="E37" s="269">
        <v>0</v>
      </c>
      <c r="F37" s="269">
        <v>0</v>
      </c>
      <c r="G37" s="269">
        <v>0</v>
      </c>
      <c r="H37" s="269">
        <v>0</v>
      </c>
      <c r="I37" s="269">
        <v>0</v>
      </c>
      <c r="J37" s="269">
        <v>0</v>
      </c>
      <c r="K37" s="269">
        <v>7.4176254142939574E-2</v>
      </c>
      <c r="L37" s="269">
        <v>2.7504938906973463E-4</v>
      </c>
      <c r="M37" s="269">
        <v>0</v>
      </c>
      <c r="N37" s="269">
        <v>1.6185657343686561E-2</v>
      </c>
      <c r="O37" s="269">
        <v>0</v>
      </c>
      <c r="P37" s="269">
        <v>0</v>
      </c>
      <c r="Q37" s="269">
        <v>0</v>
      </c>
      <c r="R37" s="269">
        <v>0</v>
      </c>
    </row>
    <row r="38" spans="1:18" x14ac:dyDescent="0.2">
      <c r="A38" s="242" t="s">
        <v>83</v>
      </c>
      <c r="B38" s="268">
        <v>5.4501334828025902E-4</v>
      </c>
      <c r="C38" s="269">
        <v>0</v>
      </c>
      <c r="D38" s="269">
        <v>0</v>
      </c>
      <c r="E38" s="269">
        <v>0</v>
      </c>
      <c r="F38" s="269">
        <v>0</v>
      </c>
      <c r="G38" s="269">
        <v>5.3630914536952363E-3</v>
      </c>
      <c r="H38" s="269">
        <v>0</v>
      </c>
      <c r="I38" s="269">
        <v>0</v>
      </c>
      <c r="J38" s="269">
        <v>0</v>
      </c>
      <c r="K38" s="269">
        <v>0</v>
      </c>
      <c r="L38" s="269">
        <v>0</v>
      </c>
      <c r="M38" s="269">
        <v>0</v>
      </c>
      <c r="N38" s="269">
        <v>0</v>
      </c>
      <c r="O38" s="269">
        <v>0</v>
      </c>
      <c r="P38" s="269">
        <v>0</v>
      </c>
      <c r="Q38" s="269">
        <v>0</v>
      </c>
      <c r="R38" s="269">
        <v>0</v>
      </c>
    </row>
    <row r="39" spans="1:18" x14ac:dyDescent="0.25">
      <c r="A39" s="243"/>
      <c r="B39" s="243"/>
      <c r="C39" s="244"/>
      <c r="D39" s="244"/>
      <c r="E39" s="244"/>
      <c r="F39" s="244"/>
      <c r="G39" s="244"/>
      <c r="H39" s="244"/>
      <c r="I39" s="244"/>
      <c r="J39" s="244"/>
      <c r="K39" s="244"/>
      <c r="L39" s="244"/>
      <c r="M39" s="244"/>
      <c r="N39" s="244"/>
      <c r="O39" s="244"/>
      <c r="P39" s="244"/>
      <c r="Q39" s="244"/>
      <c r="R39" s="244"/>
    </row>
    <row r="40" spans="1:18" x14ac:dyDescent="0.2">
      <c r="A40" s="234" t="s">
        <v>211</v>
      </c>
      <c r="B40" s="270">
        <v>31955688.171000004</v>
      </c>
      <c r="C40" s="271">
        <v>2197664.0299999998</v>
      </c>
      <c r="D40" s="271">
        <v>1391235.26</v>
      </c>
      <c r="E40" s="271">
        <v>1080838.53</v>
      </c>
      <c r="F40" s="271">
        <v>890714.05</v>
      </c>
      <c r="G40" s="271">
        <v>3414322.3799999994</v>
      </c>
      <c r="H40" s="271">
        <v>900158.15099999984</v>
      </c>
      <c r="I40" s="271">
        <v>2415017.5900000008</v>
      </c>
      <c r="J40" s="271">
        <v>965728.7300000001</v>
      </c>
      <c r="K40" s="271">
        <v>5919023.5900000017</v>
      </c>
      <c r="L40" s="271">
        <v>1199879.98</v>
      </c>
      <c r="M40" s="271">
        <v>1682729.7499999998</v>
      </c>
      <c r="N40" s="271">
        <v>932253.73</v>
      </c>
      <c r="O40" s="271">
        <v>2377121</v>
      </c>
      <c r="P40" s="271">
        <v>2241242.4</v>
      </c>
      <c r="Q40" s="271">
        <v>2083534.86</v>
      </c>
      <c r="R40" s="271">
        <v>2264224.14</v>
      </c>
    </row>
    <row r="41" spans="1:18" x14ac:dyDescent="0.2">
      <c r="A41" s="242" t="s">
        <v>184</v>
      </c>
      <c r="B41" s="272">
        <v>0.89732777390231588</v>
      </c>
      <c r="C41" s="273">
        <v>0.83502367284047518</v>
      </c>
      <c r="D41" s="273">
        <v>0.88436919001032221</v>
      </c>
      <c r="E41" s="273">
        <v>0.875595571153445</v>
      </c>
      <c r="F41" s="273">
        <v>0.82480438026098279</v>
      </c>
      <c r="G41" s="273">
        <v>0.93745870007740773</v>
      </c>
      <c r="H41" s="273">
        <v>0.94238813374917729</v>
      </c>
      <c r="I41" s="273">
        <v>0.94204809911964216</v>
      </c>
      <c r="J41" s="273">
        <v>0.83986400611691436</v>
      </c>
      <c r="K41" s="273">
        <v>0.84511523800161081</v>
      </c>
      <c r="L41" s="273">
        <v>0.95164878073888692</v>
      </c>
      <c r="M41" s="273">
        <v>0.90524627023442139</v>
      </c>
      <c r="N41" s="273">
        <v>0.90847191354224988</v>
      </c>
      <c r="O41" s="273">
        <v>0.91557644730747823</v>
      </c>
      <c r="P41" s="273">
        <v>0.93133433492066731</v>
      </c>
      <c r="Q41" s="273">
        <v>0.87268760648429944</v>
      </c>
      <c r="R41" s="273">
        <v>0.97013341179199675</v>
      </c>
    </row>
    <row r="42" spans="1:18" x14ac:dyDescent="0.2">
      <c r="A42" s="242" t="s">
        <v>142</v>
      </c>
      <c r="B42" s="272">
        <v>4.2679437623180444E-3</v>
      </c>
      <c r="C42" s="273">
        <v>4.5227295274974308E-3</v>
      </c>
      <c r="D42" s="273">
        <v>5.9537018922306501E-3</v>
      </c>
      <c r="E42" s="273">
        <v>0</v>
      </c>
      <c r="F42" s="273">
        <v>7.6443163774052953E-3</v>
      </c>
      <c r="G42" s="273">
        <v>0</v>
      </c>
      <c r="H42" s="273">
        <v>0</v>
      </c>
      <c r="I42" s="273">
        <v>1.65593824929449E-3</v>
      </c>
      <c r="J42" s="273">
        <v>0</v>
      </c>
      <c r="K42" s="273">
        <v>1.6582904005625016E-3</v>
      </c>
      <c r="L42" s="273">
        <v>0</v>
      </c>
      <c r="M42" s="273">
        <v>1.9056797444747149E-2</v>
      </c>
      <c r="N42" s="273">
        <v>2.4429293514331126E-3</v>
      </c>
      <c r="O42" s="273">
        <v>1.0748295942865341E-3</v>
      </c>
      <c r="P42" s="273">
        <v>2.2229188596467747E-2</v>
      </c>
      <c r="Q42" s="273">
        <v>5.192276936513556E-3</v>
      </c>
      <c r="R42" s="273">
        <v>0</v>
      </c>
    </row>
    <row r="43" spans="1:18" x14ac:dyDescent="0.2">
      <c r="A43" s="242" t="s">
        <v>143</v>
      </c>
      <c r="B43" s="272">
        <v>9.4616548197008609E-3</v>
      </c>
      <c r="C43" s="273">
        <v>8.6798572209420017E-3</v>
      </c>
      <c r="D43" s="273">
        <v>3.4748975525534048E-2</v>
      </c>
      <c r="E43" s="273">
        <v>1.3023157122276165E-2</v>
      </c>
      <c r="F43" s="273">
        <v>6.1634774931415975E-2</v>
      </c>
      <c r="G43" s="273">
        <v>4.0689040031421991E-3</v>
      </c>
      <c r="H43" s="273">
        <v>1.3120816588595219E-3</v>
      </c>
      <c r="I43" s="273">
        <v>7.708809276209037E-3</v>
      </c>
      <c r="J43" s="273">
        <v>2.4732141913185082E-2</v>
      </c>
      <c r="K43" s="273">
        <v>9.3551325075898178E-3</v>
      </c>
      <c r="L43" s="273">
        <v>0</v>
      </c>
      <c r="M43" s="273">
        <v>2.8832318439725696E-4</v>
      </c>
      <c r="N43" s="273">
        <v>1.5397406884067925E-2</v>
      </c>
      <c r="O43" s="273">
        <v>7.5494684536462388E-3</v>
      </c>
      <c r="P43" s="273">
        <v>3.8186007903473537E-3</v>
      </c>
      <c r="Q43" s="273">
        <v>1.5920971919807475E-3</v>
      </c>
      <c r="R43" s="273">
        <v>3.6877974457069427E-3</v>
      </c>
    </row>
    <row r="44" spans="1:18" x14ac:dyDescent="0.2">
      <c r="A44" s="242" t="s">
        <v>144</v>
      </c>
      <c r="B44" s="272">
        <v>1.4660820242487025E-3</v>
      </c>
      <c r="C44" s="273">
        <v>2.0762955291214373E-3</v>
      </c>
      <c r="D44" s="273">
        <v>2.8680986708171845E-4</v>
      </c>
      <c r="E44" s="273">
        <v>3.1632939658433534E-3</v>
      </c>
      <c r="F44" s="273">
        <v>5.9445565049748566E-4</v>
      </c>
      <c r="G44" s="273">
        <v>1.1484562860757164E-4</v>
      </c>
      <c r="H44" s="273">
        <v>1.3738919084675381E-3</v>
      </c>
      <c r="I44" s="273">
        <v>3.7924361453615734E-4</v>
      </c>
      <c r="J44" s="273">
        <v>4.8023009525666694E-3</v>
      </c>
      <c r="K44" s="273">
        <v>2.7365121550394084E-3</v>
      </c>
      <c r="L44" s="273">
        <v>2.0925342883044021E-3</v>
      </c>
      <c r="M44" s="273">
        <v>8.431716382265186E-4</v>
      </c>
      <c r="N44" s="273">
        <v>5.7594835260138901E-4</v>
      </c>
      <c r="O44" s="273">
        <v>6.3059474044442837E-4</v>
      </c>
      <c r="P44" s="273">
        <v>9.8159842059029412E-4</v>
      </c>
      <c r="Q44" s="273">
        <v>1.1633306677671809E-3</v>
      </c>
      <c r="R44" s="273">
        <v>1.7532849022623704E-3</v>
      </c>
    </row>
    <row r="45" spans="1:18" x14ac:dyDescent="0.2">
      <c r="A45" s="242" t="s">
        <v>145</v>
      </c>
      <c r="B45" s="272">
        <v>5.7777350627533754E-3</v>
      </c>
      <c r="C45" s="273">
        <v>2.7979708982177776E-2</v>
      </c>
      <c r="D45" s="273">
        <v>0</v>
      </c>
      <c r="E45" s="273">
        <v>0</v>
      </c>
      <c r="F45" s="273">
        <v>6.0625517246528215E-3</v>
      </c>
      <c r="G45" s="273">
        <v>4.219970581688306E-3</v>
      </c>
      <c r="H45" s="273">
        <v>0</v>
      </c>
      <c r="I45" s="273">
        <v>5.4657986983854623E-3</v>
      </c>
      <c r="J45" s="273">
        <v>2.3940470322344038E-3</v>
      </c>
      <c r="K45" s="273">
        <v>7.4760607602173774E-3</v>
      </c>
      <c r="L45" s="273">
        <v>8.5008502267035072E-4</v>
      </c>
      <c r="M45" s="273">
        <v>1.4767671398214718E-2</v>
      </c>
      <c r="N45" s="273">
        <v>7.7232192999646138E-3</v>
      </c>
      <c r="O45" s="273">
        <v>0</v>
      </c>
      <c r="P45" s="273">
        <v>0</v>
      </c>
      <c r="Q45" s="273">
        <v>5.0395989054869954E-3</v>
      </c>
      <c r="R45" s="273">
        <v>0</v>
      </c>
    </row>
    <row r="46" spans="1:18" x14ac:dyDescent="0.2">
      <c r="A46" s="242" t="s">
        <v>146</v>
      </c>
      <c r="B46" s="272">
        <v>7.8125934470272239E-4</v>
      </c>
      <c r="C46" s="273">
        <v>2.6667770505394315E-3</v>
      </c>
      <c r="D46" s="273">
        <v>0</v>
      </c>
      <c r="E46" s="273">
        <v>0</v>
      </c>
      <c r="F46" s="273">
        <v>2.182844202356525E-3</v>
      </c>
      <c r="G46" s="273">
        <v>3.3911267629039768E-4</v>
      </c>
      <c r="H46" s="273">
        <v>0</v>
      </c>
      <c r="I46" s="273">
        <v>1.4593889562518668E-3</v>
      </c>
      <c r="J46" s="273">
        <v>0</v>
      </c>
      <c r="K46" s="273">
        <v>7.2471919308569584E-4</v>
      </c>
      <c r="L46" s="273">
        <v>0</v>
      </c>
      <c r="M46" s="273">
        <v>3.0921958799385346E-3</v>
      </c>
      <c r="N46" s="273">
        <v>3.202411429343383E-3</v>
      </c>
      <c r="O46" s="273">
        <v>0</v>
      </c>
      <c r="P46" s="273">
        <v>0</v>
      </c>
      <c r="Q46" s="273">
        <v>0</v>
      </c>
      <c r="R46" s="273">
        <v>0</v>
      </c>
    </row>
    <row r="47" spans="1:18" x14ac:dyDescent="0.2">
      <c r="A47" s="242" t="s">
        <v>147</v>
      </c>
      <c r="B47" s="272">
        <v>6.2191068750118194E-3</v>
      </c>
      <c r="C47" s="273">
        <v>1.7227383022690688E-2</v>
      </c>
      <c r="D47" s="273">
        <v>4.4293155709696436E-3</v>
      </c>
      <c r="E47" s="273">
        <v>2.188930107811756E-3</v>
      </c>
      <c r="F47" s="273">
        <v>0</v>
      </c>
      <c r="G47" s="273">
        <v>5.1913932040594255E-3</v>
      </c>
      <c r="H47" s="273">
        <v>1.4028668169000452E-2</v>
      </c>
      <c r="I47" s="273">
        <v>3.5679574491215187E-3</v>
      </c>
      <c r="J47" s="273">
        <v>7.6690376602961781E-3</v>
      </c>
      <c r="K47" s="273">
        <v>8.3301982582569822E-3</v>
      </c>
      <c r="L47" s="273">
        <v>4.3105144566209035E-4</v>
      </c>
      <c r="M47" s="273">
        <v>5.1491274817004936E-3</v>
      </c>
      <c r="N47" s="273">
        <v>0</v>
      </c>
      <c r="O47" s="273">
        <v>1.9784436719880896E-3</v>
      </c>
      <c r="P47" s="273">
        <v>6.5142440639174059E-3</v>
      </c>
      <c r="Q47" s="273">
        <v>8.309234624468918E-3</v>
      </c>
      <c r="R47" s="273">
        <v>4.7997544978033843E-3</v>
      </c>
    </row>
    <row r="48" spans="1:18" x14ac:dyDescent="0.2">
      <c r="A48" s="242" t="s">
        <v>148</v>
      </c>
      <c r="B48" s="272">
        <v>4.5563822384565335E-3</v>
      </c>
      <c r="C48" s="273">
        <v>2.3206458905367808E-2</v>
      </c>
      <c r="D48" s="273">
        <v>0</v>
      </c>
      <c r="E48" s="273">
        <v>1.5489964074467257E-2</v>
      </c>
      <c r="F48" s="273">
        <v>1.5728953641182598E-3</v>
      </c>
      <c r="G48" s="273">
        <v>4.1922930546470548E-3</v>
      </c>
      <c r="H48" s="273">
        <v>2.11293981828311E-3</v>
      </c>
      <c r="I48" s="273">
        <v>4.2260561754334868E-5</v>
      </c>
      <c r="J48" s="273">
        <v>3.353301915331855E-3</v>
      </c>
      <c r="K48" s="273">
        <v>2.6011165128672843E-3</v>
      </c>
      <c r="L48" s="273">
        <v>1.3100518603535663E-2</v>
      </c>
      <c r="M48" s="273">
        <v>0</v>
      </c>
      <c r="N48" s="273">
        <v>1.2801203809610931E-2</v>
      </c>
      <c r="O48" s="273">
        <v>3.0646315437876321E-3</v>
      </c>
      <c r="P48" s="273">
        <v>0</v>
      </c>
      <c r="Q48" s="273">
        <v>1.7362560470910479E-3</v>
      </c>
      <c r="R48" s="273">
        <v>1.3034398617444297E-3</v>
      </c>
    </row>
    <row r="49" spans="1:18" x14ac:dyDescent="0.2">
      <c r="A49" s="242" t="s">
        <v>149</v>
      </c>
      <c r="B49" s="272">
        <v>2.2587189364772574E-2</v>
      </c>
      <c r="C49" s="273">
        <v>2.2794407751215731E-2</v>
      </c>
      <c r="D49" s="273">
        <v>4.0905734375938693E-3</v>
      </c>
      <c r="E49" s="273">
        <v>0</v>
      </c>
      <c r="F49" s="273">
        <v>5.0521264372106853E-4</v>
      </c>
      <c r="G49" s="273">
        <v>6.248267628436423E-4</v>
      </c>
      <c r="H49" s="273">
        <v>1.8162741715816562E-2</v>
      </c>
      <c r="I49" s="273">
        <v>2.3967527292420251E-3</v>
      </c>
      <c r="J49" s="273">
        <v>6.1406581535582976E-2</v>
      </c>
      <c r="K49" s="273">
        <v>8.0943316531029388E-2</v>
      </c>
      <c r="L49" s="273">
        <v>2.4793396419531895E-3</v>
      </c>
      <c r="M49" s="273">
        <v>0</v>
      </c>
      <c r="N49" s="273">
        <v>4.6124781930344223E-4</v>
      </c>
      <c r="O49" s="273">
        <v>2.5768145584511685E-2</v>
      </c>
      <c r="P49" s="273">
        <v>1.1073862425590377E-2</v>
      </c>
      <c r="Q49" s="273">
        <v>8.4102744506036242E-4</v>
      </c>
      <c r="R49" s="273">
        <v>5.1430199838784513E-3</v>
      </c>
    </row>
    <row r="50" spans="1:18" x14ac:dyDescent="0.2">
      <c r="A50" s="242" t="s">
        <v>150</v>
      </c>
      <c r="B50" s="272">
        <v>1.0522224656865455E-2</v>
      </c>
      <c r="C50" s="273">
        <v>1.9630571102353622E-2</v>
      </c>
      <c r="D50" s="273">
        <v>3.6731745858712638E-3</v>
      </c>
      <c r="E50" s="273">
        <v>0</v>
      </c>
      <c r="F50" s="273">
        <v>2.9545082397656127E-2</v>
      </c>
      <c r="G50" s="273">
        <v>1.3708837300829222E-2</v>
      </c>
      <c r="H50" s="273">
        <v>7.1237481912220122E-3</v>
      </c>
      <c r="I50" s="273">
        <v>1.0576829794436401E-2</v>
      </c>
      <c r="J50" s="273">
        <v>1.8161601136169988E-2</v>
      </c>
      <c r="K50" s="273">
        <v>5.8321494204418246E-3</v>
      </c>
      <c r="L50" s="273">
        <v>2.5410874844332349E-3</v>
      </c>
      <c r="M50" s="273">
        <v>1.0342563920320539E-2</v>
      </c>
      <c r="N50" s="273">
        <v>2.8803317311479138E-3</v>
      </c>
      <c r="O50" s="273">
        <v>1.4512092569120377E-2</v>
      </c>
      <c r="P50" s="273">
        <v>1.0760763762099093E-2</v>
      </c>
      <c r="Q50" s="273">
        <v>1.9974088650477388E-2</v>
      </c>
      <c r="R50" s="273">
        <v>3.3062097818637335E-3</v>
      </c>
    </row>
    <row r="51" spans="1:18" x14ac:dyDescent="0.2">
      <c r="A51" s="242" t="s">
        <v>151</v>
      </c>
      <c r="B51" s="272">
        <v>3.6302479038857684E-3</v>
      </c>
      <c r="C51" s="273">
        <v>8.3877379564700812E-3</v>
      </c>
      <c r="D51" s="273">
        <v>6.8676307125798402E-3</v>
      </c>
      <c r="E51" s="273">
        <v>0</v>
      </c>
      <c r="F51" s="273">
        <v>1.0682328408314656E-3</v>
      </c>
      <c r="G51" s="273">
        <v>1.5363956346734901E-3</v>
      </c>
      <c r="H51" s="273">
        <v>6.9843282461150562E-4</v>
      </c>
      <c r="I51" s="273">
        <v>4.9689079076231475E-5</v>
      </c>
      <c r="J51" s="273">
        <v>1.2900827751080783E-3</v>
      </c>
      <c r="K51" s="273">
        <v>5.1145395080272006E-3</v>
      </c>
      <c r="L51" s="273">
        <v>1.5409874577622339E-3</v>
      </c>
      <c r="M51" s="273">
        <v>2.3167867567563959E-2</v>
      </c>
      <c r="N51" s="273">
        <v>0</v>
      </c>
      <c r="O51" s="273">
        <v>0</v>
      </c>
      <c r="P51" s="273">
        <v>3.5694488021465239E-3</v>
      </c>
      <c r="Q51" s="273">
        <v>0</v>
      </c>
      <c r="R51" s="273">
        <v>3.1798971986934119E-4</v>
      </c>
    </row>
    <row r="52" spans="1:18" x14ac:dyDescent="0.2">
      <c r="A52" s="242" t="s">
        <v>82</v>
      </c>
      <c r="B52" s="272">
        <v>3.3402400044968195E-2</v>
      </c>
      <c r="C52" s="273">
        <v>2.7804400111148927E-2</v>
      </c>
      <c r="D52" s="273">
        <v>5.5580628397816759E-2</v>
      </c>
      <c r="E52" s="273">
        <v>9.0539083576156379E-2</v>
      </c>
      <c r="F52" s="273">
        <v>6.4385253606362214E-2</v>
      </c>
      <c r="G52" s="273">
        <v>2.8544721075811245E-2</v>
      </c>
      <c r="H52" s="273">
        <v>1.279936196456216E-2</v>
      </c>
      <c r="I52" s="273">
        <v>2.4649232472050021E-2</v>
      </c>
      <c r="J52" s="273">
        <v>3.6326898962610335E-2</v>
      </c>
      <c r="K52" s="273">
        <v>3.0112726751271478E-2</v>
      </c>
      <c r="L52" s="273">
        <v>2.5315615316791933E-2</v>
      </c>
      <c r="M52" s="273">
        <v>1.8046011250469663E-2</v>
      </c>
      <c r="N52" s="273">
        <v>4.6043387780277369E-2</v>
      </c>
      <c r="O52" s="273">
        <v>2.9845346534736767E-2</v>
      </c>
      <c r="P52" s="273">
        <v>9.7179582181739915E-3</v>
      </c>
      <c r="Q52" s="273">
        <v>8.3464483046854304E-2</v>
      </c>
      <c r="R52" s="273">
        <v>9.5550920148744639E-3</v>
      </c>
    </row>
  </sheetData>
  <pageMargins left="0.7" right="0.7" top="0.75" bottom="0.75" header="0.3" footer="0.3"/>
  <pageSetup paperSize="5" scale="53" orientation="landscape" r:id="rId1"/>
  <headerFooter>
    <oddHeader>&amp;CFunding and Expense Categories as a Percentage of the Total - Indigent Defense (FY15-16 and 16-17)</oddHeader>
    <oddFooter>&amp;LData and analysis based on reports submitted by Commission on Indigent Defense and Commission on Prosecution Coordination pursuant to FY15-16 Proviso 117.110 and FY16-17 Proviso 117.109</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83"/>
  <sheetViews>
    <sheetView zoomScaleNormal="100" workbookViewId="0">
      <pane xSplit="2" ySplit="2" topLeftCell="C6" activePane="bottomRight" state="frozen"/>
      <selection pane="topRight" activeCell="C1" sqref="C1"/>
      <selection pane="bottomLeft" activeCell="A3" sqref="A3"/>
      <selection pane="bottomRight" activeCell="L2" sqref="L2"/>
    </sheetView>
  </sheetViews>
  <sheetFormatPr defaultColWidth="22.140625" defaultRowHeight="12.75" outlineLevelRow="1" outlineLevelCol="1" x14ac:dyDescent="0.2"/>
  <cols>
    <col min="1" max="1" width="6.7109375" style="77" bestFit="1" customWidth="1"/>
    <col min="2" max="2" width="11.7109375" style="1" bestFit="1" customWidth="1"/>
    <col min="3" max="4" width="14.28515625" style="1" customWidth="1" outlineLevel="1"/>
    <col min="5" max="5" width="6.85546875" style="1" customWidth="1" outlineLevel="1"/>
    <col min="6" max="6" width="11.7109375" style="35" customWidth="1" outlineLevel="1"/>
    <col min="7" max="7" width="11.7109375" style="1" customWidth="1" outlineLevel="1"/>
    <col min="8" max="8" width="11.85546875" style="1" customWidth="1" outlineLevel="1"/>
    <col min="9" max="9" width="14.28515625" style="1" customWidth="1" outlineLevel="1"/>
    <col min="10" max="10" width="16.85546875" style="184" customWidth="1" outlineLevel="1"/>
    <col min="11" max="11" width="5" style="1" customWidth="1"/>
    <col min="12" max="12" width="8" style="206" hidden="1" customWidth="1" outlineLevel="1"/>
    <col min="13" max="13" width="7.5703125" style="206" hidden="1" customWidth="1" outlineLevel="1"/>
    <col min="14" max="14" width="9.140625" style="206" hidden="1" customWidth="1" outlineLevel="1"/>
    <col min="15" max="15" width="10.42578125" style="206" hidden="1" customWidth="1" outlineLevel="1"/>
    <col min="16" max="16" width="9.28515625" style="206" hidden="1" customWidth="1" outlineLevel="1"/>
    <col min="17" max="17" width="13.7109375" style="206" hidden="1" customWidth="1" outlineLevel="1"/>
    <col min="18" max="18" width="5" style="56" customWidth="1" collapsed="1"/>
    <col min="19" max="19" width="14.28515625" style="1" bestFit="1" customWidth="1" outlineLevel="1"/>
    <col min="20" max="20" width="13.28515625" style="1" bestFit="1" customWidth="1" outlineLevel="1"/>
    <col min="21" max="21" width="11.85546875" style="1" bestFit="1" customWidth="1" outlineLevel="1"/>
    <col min="22" max="22" width="11.7109375" style="1" bestFit="1" customWidth="1" outlineLevel="1"/>
    <col min="23" max="23" width="10.7109375" style="1" bestFit="1" customWidth="1" outlineLevel="1"/>
    <col min="24" max="24" width="11.7109375" style="1" bestFit="1" customWidth="1" outlineLevel="1"/>
    <col min="25" max="25" width="10.7109375" style="1" bestFit="1" customWidth="1" outlineLevel="1"/>
    <col min="26" max="26" width="15.28515625" style="1" bestFit="1" customWidth="1" outlineLevel="1"/>
    <col min="27" max="27" width="10.7109375" style="1" bestFit="1" customWidth="1" outlineLevel="1"/>
    <col min="28" max="28" width="12.42578125" style="1" bestFit="1" customWidth="1" outlineLevel="1"/>
    <col min="29" max="29" width="11.7109375" style="1" bestFit="1" customWidth="1" outlineLevel="1"/>
    <col min="30" max="30" width="10.7109375" style="1" bestFit="1" customWidth="1" outlineLevel="1"/>
    <col min="31" max="31" width="11.7109375" style="1" bestFit="1" customWidth="1" outlineLevel="1"/>
    <col min="32" max="32" width="14.28515625" style="1" bestFit="1" customWidth="1" outlineLevel="1"/>
    <col min="33" max="33" width="5" style="1" customWidth="1"/>
    <col min="34" max="34" width="7.5703125" style="206" hidden="1" customWidth="1" outlineLevel="1"/>
    <col min="35" max="35" width="7" style="206" hidden="1" customWidth="1" outlineLevel="1"/>
    <col min="36" max="36" width="10.28515625" style="206" hidden="1" customWidth="1" outlineLevel="1"/>
    <col min="37" max="37" width="7" style="206" hidden="1" customWidth="1" outlineLevel="1"/>
    <col min="38" max="38" width="6.85546875" style="206" hidden="1" customWidth="1" outlineLevel="1"/>
    <col min="39" max="39" width="7.7109375" style="206" hidden="1" customWidth="1" outlineLevel="1"/>
    <col min="40" max="40" width="9.28515625" style="206" hidden="1" customWidth="1" outlineLevel="1"/>
    <col min="41" max="41" width="7.5703125" style="206" hidden="1" customWidth="1" outlineLevel="1"/>
    <col min="42" max="42" width="7.7109375" style="206" hidden="1" customWidth="1" outlineLevel="1"/>
    <col min="43" max="43" width="10" style="206" hidden="1" customWidth="1" outlineLevel="1"/>
    <col min="44" max="44" width="7.7109375" style="206" hidden="1" customWidth="1" outlineLevel="1"/>
    <col min="45" max="45" width="8.85546875" style="206" hidden="1" customWidth="1" outlineLevel="1"/>
    <col min="46" max="46" width="5" style="1" customWidth="1" collapsed="1"/>
    <col min="47" max="47" width="13.28515625" style="1" bestFit="1" customWidth="1"/>
    <col min="48" max="269" width="22.140625" style="1"/>
    <col min="270" max="270" width="7.140625" style="1" customWidth="1"/>
    <col min="271" max="271" width="11.7109375" style="1" bestFit="1" customWidth="1"/>
    <col min="272" max="272" width="20.85546875" style="1" bestFit="1" customWidth="1"/>
    <col min="273" max="273" width="19.85546875" style="1" bestFit="1" customWidth="1"/>
    <col min="274" max="274" width="15.85546875" style="1" customWidth="1"/>
    <col min="275" max="275" width="17.7109375" style="1" bestFit="1" customWidth="1"/>
    <col min="276" max="276" width="16.28515625" style="1" bestFit="1" customWidth="1"/>
    <col min="277" max="277" width="14.85546875" style="1" customWidth="1"/>
    <col min="278" max="278" width="20.5703125" style="1" bestFit="1" customWidth="1"/>
    <col min="279" max="279" width="37.140625" style="1" customWidth="1"/>
    <col min="280" max="280" width="4.5703125" style="1" bestFit="1" customWidth="1"/>
    <col min="281" max="281" width="4.7109375" style="1" bestFit="1" customWidth="1"/>
    <col min="282" max="283" width="8.5703125" style="1" bestFit="1" customWidth="1"/>
    <col min="284" max="284" width="9.5703125" style="1" bestFit="1" customWidth="1"/>
    <col min="285" max="525" width="22.140625" style="1"/>
    <col min="526" max="526" width="7.140625" style="1" customWidth="1"/>
    <col min="527" max="527" width="11.7109375" style="1" bestFit="1" customWidth="1"/>
    <col min="528" max="528" width="20.85546875" style="1" bestFit="1" customWidth="1"/>
    <col min="529" max="529" width="19.85546875" style="1" bestFit="1" customWidth="1"/>
    <col min="530" max="530" width="15.85546875" style="1" customWidth="1"/>
    <col min="531" max="531" width="17.7109375" style="1" bestFit="1" customWidth="1"/>
    <col min="532" max="532" width="16.28515625" style="1" bestFit="1" customWidth="1"/>
    <col min="533" max="533" width="14.85546875" style="1" customWidth="1"/>
    <col min="534" max="534" width="20.5703125" style="1" bestFit="1" customWidth="1"/>
    <col min="535" max="535" width="37.140625" style="1" customWidth="1"/>
    <col min="536" max="536" width="4.5703125" style="1" bestFit="1" customWidth="1"/>
    <col min="537" max="537" width="4.7109375" style="1" bestFit="1" customWidth="1"/>
    <col min="538" max="539" width="8.5703125" style="1" bestFit="1" customWidth="1"/>
    <col min="540" max="540" width="9.5703125" style="1" bestFit="1" customWidth="1"/>
    <col min="541" max="781" width="22.140625" style="1"/>
    <col min="782" max="782" width="7.140625" style="1" customWidth="1"/>
    <col min="783" max="783" width="11.7109375" style="1" bestFit="1" customWidth="1"/>
    <col min="784" max="784" width="20.85546875" style="1" bestFit="1" customWidth="1"/>
    <col min="785" max="785" width="19.85546875" style="1" bestFit="1" customWidth="1"/>
    <col min="786" max="786" width="15.85546875" style="1" customWidth="1"/>
    <col min="787" max="787" width="17.7109375" style="1" bestFit="1" customWidth="1"/>
    <col min="788" max="788" width="16.28515625" style="1" bestFit="1" customWidth="1"/>
    <col min="789" max="789" width="14.85546875" style="1" customWidth="1"/>
    <col min="790" max="790" width="20.5703125" style="1" bestFit="1" customWidth="1"/>
    <col min="791" max="791" width="37.140625" style="1" customWidth="1"/>
    <col min="792" max="792" width="4.5703125" style="1" bestFit="1" customWidth="1"/>
    <col min="793" max="793" width="4.7109375" style="1" bestFit="1" customWidth="1"/>
    <col min="794" max="795" width="8.5703125" style="1" bestFit="1" customWidth="1"/>
    <col min="796" max="796" width="9.5703125" style="1" bestFit="1" customWidth="1"/>
    <col min="797" max="1037" width="22.140625" style="1"/>
    <col min="1038" max="1038" width="7.140625" style="1" customWidth="1"/>
    <col min="1039" max="1039" width="11.7109375" style="1" bestFit="1" customWidth="1"/>
    <col min="1040" max="1040" width="20.85546875" style="1" bestFit="1" customWidth="1"/>
    <col min="1041" max="1041" width="19.85546875" style="1" bestFit="1" customWidth="1"/>
    <col min="1042" max="1042" width="15.85546875" style="1" customWidth="1"/>
    <col min="1043" max="1043" width="17.7109375" style="1" bestFit="1" customWidth="1"/>
    <col min="1044" max="1044" width="16.28515625" style="1" bestFit="1" customWidth="1"/>
    <col min="1045" max="1045" width="14.85546875" style="1" customWidth="1"/>
    <col min="1046" max="1046" width="20.5703125" style="1" bestFit="1" customWidth="1"/>
    <col min="1047" max="1047" width="37.140625" style="1" customWidth="1"/>
    <col min="1048" max="1048" width="4.5703125" style="1" bestFit="1" customWidth="1"/>
    <col min="1049" max="1049" width="4.7109375" style="1" bestFit="1" customWidth="1"/>
    <col min="1050" max="1051" width="8.5703125" style="1" bestFit="1" customWidth="1"/>
    <col min="1052" max="1052" width="9.5703125" style="1" bestFit="1" customWidth="1"/>
    <col min="1053" max="1293" width="22.140625" style="1"/>
    <col min="1294" max="1294" width="7.140625" style="1" customWidth="1"/>
    <col min="1295" max="1295" width="11.7109375" style="1" bestFit="1" customWidth="1"/>
    <col min="1296" max="1296" width="20.85546875" style="1" bestFit="1" customWidth="1"/>
    <col min="1297" max="1297" width="19.85546875" style="1" bestFit="1" customWidth="1"/>
    <col min="1298" max="1298" width="15.85546875" style="1" customWidth="1"/>
    <col min="1299" max="1299" width="17.7109375" style="1" bestFit="1" customWidth="1"/>
    <col min="1300" max="1300" width="16.28515625" style="1" bestFit="1" customWidth="1"/>
    <col min="1301" max="1301" width="14.85546875" style="1" customWidth="1"/>
    <col min="1302" max="1302" width="20.5703125" style="1" bestFit="1" customWidth="1"/>
    <col min="1303" max="1303" width="37.140625" style="1" customWidth="1"/>
    <col min="1304" max="1304" width="4.5703125" style="1" bestFit="1" customWidth="1"/>
    <col min="1305" max="1305" width="4.7109375" style="1" bestFit="1" customWidth="1"/>
    <col min="1306" max="1307" width="8.5703125" style="1" bestFit="1" customWidth="1"/>
    <col min="1308" max="1308" width="9.5703125" style="1" bestFit="1" customWidth="1"/>
    <col min="1309" max="1549" width="22.140625" style="1"/>
    <col min="1550" max="1550" width="7.140625" style="1" customWidth="1"/>
    <col min="1551" max="1551" width="11.7109375" style="1" bestFit="1" customWidth="1"/>
    <col min="1552" max="1552" width="20.85546875" style="1" bestFit="1" customWidth="1"/>
    <col min="1553" max="1553" width="19.85546875" style="1" bestFit="1" customWidth="1"/>
    <col min="1554" max="1554" width="15.85546875" style="1" customWidth="1"/>
    <col min="1555" max="1555" width="17.7109375" style="1" bestFit="1" customWidth="1"/>
    <col min="1556" max="1556" width="16.28515625" style="1" bestFit="1" customWidth="1"/>
    <col min="1557" max="1557" width="14.85546875" style="1" customWidth="1"/>
    <col min="1558" max="1558" width="20.5703125" style="1" bestFit="1" customWidth="1"/>
    <col min="1559" max="1559" width="37.140625" style="1" customWidth="1"/>
    <col min="1560" max="1560" width="4.5703125" style="1" bestFit="1" customWidth="1"/>
    <col min="1561" max="1561" width="4.7109375" style="1" bestFit="1" customWidth="1"/>
    <col min="1562" max="1563" width="8.5703125" style="1" bestFit="1" customWidth="1"/>
    <col min="1564" max="1564" width="9.5703125" style="1" bestFit="1" customWidth="1"/>
    <col min="1565" max="1805" width="22.140625" style="1"/>
    <col min="1806" max="1806" width="7.140625" style="1" customWidth="1"/>
    <col min="1807" max="1807" width="11.7109375" style="1" bestFit="1" customWidth="1"/>
    <col min="1808" max="1808" width="20.85546875" style="1" bestFit="1" customWidth="1"/>
    <col min="1809" max="1809" width="19.85546875" style="1" bestFit="1" customWidth="1"/>
    <col min="1810" max="1810" width="15.85546875" style="1" customWidth="1"/>
    <col min="1811" max="1811" width="17.7109375" style="1" bestFit="1" customWidth="1"/>
    <col min="1812" max="1812" width="16.28515625" style="1" bestFit="1" customWidth="1"/>
    <col min="1813" max="1813" width="14.85546875" style="1" customWidth="1"/>
    <col min="1814" max="1814" width="20.5703125" style="1" bestFit="1" customWidth="1"/>
    <col min="1815" max="1815" width="37.140625" style="1" customWidth="1"/>
    <col min="1816" max="1816" width="4.5703125" style="1" bestFit="1" customWidth="1"/>
    <col min="1817" max="1817" width="4.7109375" style="1" bestFit="1" customWidth="1"/>
    <col min="1818" max="1819" width="8.5703125" style="1" bestFit="1" customWidth="1"/>
    <col min="1820" max="1820" width="9.5703125" style="1" bestFit="1" customWidth="1"/>
    <col min="1821" max="2061" width="22.140625" style="1"/>
    <col min="2062" max="2062" width="7.140625" style="1" customWidth="1"/>
    <col min="2063" max="2063" width="11.7109375" style="1" bestFit="1" customWidth="1"/>
    <col min="2064" max="2064" width="20.85546875" style="1" bestFit="1" customWidth="1"/>
    <col min="2065" max="2065" width="19.85546875" style="1" bestFit="1" customWidth="1"/>
    <col min="2066" max="2066" width="15.85546875" style="1" customWidth="1"/>
    <col min="2067" max="2067" width="17.7109375" style="1" bestFit="1" customWidth="1"/>
    <col min="2068" max="2068" width="16.28515625" style="1" bestFit="1" customWidth="1"/>
    <col min="2069" max="2069" width="14.85546875" style="1" customWidth="1"/>
    <col min="2070" max="2070" width="20.5703125" style="1" bestFit="1" customWidth="1"/>
    <col min="2071" max="2071" width="37.140625" style="1" customWidth="1"/>
    <col min="2072" max="2072" width="4.5703125" style="1" bestFit="1" customWidth="1"/>
    <col min="2073" max="2073" width="4.7109375" style="1" bestFit="1" customWidth="1"/>
    <col min="2074" max="2075" width="8.5703125" style="1" bestFit="1" customWidth="1"/>
    <col min="2076" max="2076" width="9.5703125" style="1" bestFit="1" customWidth="1"/>
    <col min="2077" max="2317" width="22.140625" style="1"/>
    <col min="2318" max="2318" width="7.140625" style="1" customWidth="1"/>
    <col min="2319" max="2319" width="11.7109375" style="1" bestFit="1" customWidth="1"/>
    <col min="2320" max="2320" width="20.85546875" style="1" bestFit="1" customWidth="1"/>
    <col min="2321" max="2321" width="19.85546875" style="1" bestFit="1" customWidth="1"/>
    <col min="2322" max="2322" width="15.85546875" style="1" customWidth="1"/>
    <col min="2323" max="2323" width="17.7109375" style="1" bestFit="1" customWidth="1"/>
    <col min="2324" max="2324" width="16.28515625" style="1" bestFit="1" customWidth="1"/>
    <col min="2325" max="2325" width="14.85546875" style="1" customWidth="1"/>
    <col min="2326" max="2326" width="20.5703125" style="1" bestFit="1" customWidth="1"/>
    <col min="2327" max="2327" width="37.140625" style="1" customWidth="1"/>
    <col min="2328" max="2328" width="4.5703125" style="1" bestFit="1" customWidth="1"/>
    <col min="2329" max="2329" width="4.7109375" style="1" bestFit="1" customWidth="1"/>
    <col min="2330" max="2331" width="8.5703125" style="1" bestFit="1" customWidth="1"/>
    <col min="2332" max="2332" width="9.5703125" style="1" bestFit="1" customWidth="1"/>
    <col min="2333" max="2573" width="22.140625" style="1"/>
    <col min="2574" max="2574" width="7.140625" style="1" customWidth="1"/>
    <col min="2575" max="2575" width="11.7109375" style="1" bestFit="1" customWidth="1"/>
    <col min="2576" max="2576" width="20.85546875" style="1" bestFit="1" customWidth="1"/>
    <col min="2577" max="2577" width="19.85546875" style="1" bestFit="1" customWidth="1"/>
    <col min="2578" max="2578" width="15.85546875" style="1" customWidth="1"/>
    <col min="2579" max="2579" width="17.7109375" style="1" bestFit="1" customWidth="1"/>
    <col min="2580" max="2580" width="16.28515625" style="1" bestFit="1" customWidth="1"/>
    <col min="2581" max="2581" width="14.85546875" style="1" customWidth="1"/>
    <col min="2582" max="2582" width="20.5703125" style="1" bestFit="1" customWidth="1"/>
    <col min="2583" max="2583" width="37.140625" style="1" customWidth="1"/>
    <col min="2584" max="2584" width="4.5703125" style="1" bestFit="1" customWidth="1"/>
    <col min="2585" max="2585" width="4.7109375" style="1" bestFit="1" customWidth="1"/>
    <col min="2586" max="2587" width="8.5703125" style="1" bestFit="1" customWidth="1"/>
    <col min="2588" max="2588" width="9.5703125" style="1" bestFit="1" customWidth="1"/>
    <col min="2589" max="2829" width="22.140625" style="1"/>
    <col min="2830" max="2830" width="7.140625" style="1" customWidth="1"/>
    <col min="2831" max="2831" width="11.7109375" style="1" bestFit="1" customWidth="1"/>
    <col min="2832" max="2832" width="20.85546875" style="1" bestFit="1" customWidth="1"/>
    <col min="2833" max="2833" width="19.85546875" style="1" bestFit="1" customWidth="1"/>
    <col min="2834" max="2834" width="15.85546875" style="1" customWidth="1"/>
    <col min="2835" max="2835" width="17.7109375" style="1" bestFit="1" customWidth="1"/>
    <col min="2836" max="2836" width="16.28515625" style="1" bestFit="1" customWidth="1"/>
    <col min="2837" max="2837" width="14.85546875" style="1" customWidth="1"/>
    <col min="2838" max="2838" width="20.5703125" style="1" bestFit="1" customWidth="1"/>
    <col min="2839" max="2839" width="37.140625" style="1" customWidth="1"/>
    <col min="2840" max="2840" width="4.5703125" style="1" bestFit="1" customWidth="1"/>
    <col min="2841" max="2841" width="4.7109375" style="1" bestFit="1" customWidth="1"/>
    <col min="2842" max="2843" width="8.5703125" style="1" bestFit="1" customWidth="1"/>
    <col min="2844" max="2844" width="9.5703125" style="1" bestFit="1" customWidth="1"/>
    <col min="2845" max="3085" width="22.140625" style="1"/>
    <col min="3086" max="3086" width="7.140625" style="1" customWidth="1"/>
    <col min="3087" max="3087" width="11.7109375" style="1" bestFit="1" customWidth="1"/>
    <col min="3088" max="3088" width="20.85546875" style="1" bestFit="1" customWidth="1"/>
    <col min="3089" max="3089" width="19.85546875" style="1" bestFit="1" customWidth="1"/>
    <col min="3090" max="3090" width="15.85546875" style="1" customWidth="1"/>
    <col min="3091" max="3091" width="17.7109375" style="1" bestFit="1" customWidth="1"/>
    <col min="3092" max="3092" width="16.28515625" style="1" bestFit="1" customWidth="1"/>
    <col min="3093" max="3093" width="14.85546875" style="1" customWidth="1"/>
    <col min="3094" max="3094" width="20.5703125" style="1" bestFit="1" customWidth="1"/>
    <col min="3095" max="3095" width="37.140625" style="1" customWidth="1"/>
    <col min="3096" max="3096" width="4.5703125" style="1" bestFit="1" customWidth="1"/>
    <col min="3097" max="3097" width="4.7109375" style="1" bestFit="1" customWidth="1"/>
    <col min="3098" max="3099" width="8.5703125" style="1" bestFit="1" customWidth="1"/>
    <col min="3100" max="3100" width="9.5703125" style="1" bestFit="1" customWidth="1"/>
    <col min="3101" max="3341" width="22.140625" style="1"/>
    <col min="3342" max="3342" width="7.140625" style="1" customWidth="1"/>
    <col min="3343" max="3343" width="11.7109375" style="1" bestFit="1" customWidth="1"/>
    <col min="3344" max="3344" width="20.85546875" style="1" bestFit="1" customWidth="1"/>
    <col min="3345" max="3345" width="19.85546875" style="1" bestFit="1" customWidth="1"/>
    <col min="3346" max="3346" width="15.85546875" style="1" customWidth="1"/>
    <col min="3347" max="3347" width="17.7109375" style="1" bestFit="1" customWidth="1"/>
    <col min="3348" max="3348" width="16.28515625" style="1" bestFit="1" customWidth="1"/>
    <col min="3349" max="3349" width="14.85546875" style="1" customWidth="1"/>
    <col min="3350" max="3350" width="20.5703125" style="1" bestFit="1" customWidth="1"/>
    <col min="3351" max="3351" width="37.140625" style="1" customWidth="1"/>
    <col min="3352" max="3352" width="4.5703125" style="1" bestFit="1" customWidth="1"/>
    <col min="3353" max="3353" width="4.7109375" style="1" bestFit="1" customWidth="1"/>
    <col min="3354" max="3355" width="8.5703125" style="1" bestFit="1" customWidth="1"/>
    <col min="3356" max="3356" width="9.5703125" style="1" bestFit="1" customWidth="1"/>
    <col min="3357" max="3597" width="22.140625" style="1"/>
    <col min="3598" max="3598" width="7.140625" style="1" customWidth="1"/>
    <col min="3599" max="3599" width="11.7109375" style="1" bestFit="1" customWidth="1"/>
    <col min="3600" max="3600" width="20.85546875" style="1" bestFit="1" customWidth="1"/>
    <col min="3601" max="3601" width="19.85546875" style="1" bestFit="1" customWidth="1"/>
    <col min="3602" max="3602" width="15.85546875" style="1" customWidth="1"/>
    <col min="3603" max="3603" width="17.7109375" style="1" bestFit="1" customWidth="1"/>
    <col min="3604" max="3604" width="16.28515625" style="1" bestFit="1" customWidth="1"/>
    <col min="3605" max="3605" width="14.85546875" style="1" customWidth="1"/>
    <col min="3606" max="3606" width="20.5703125" style="1" bestFit="1" customWidth="1"/>
    <col min="3607" max="3607" width="37.140625" style="1" customWidth="1"/>
    <col min="3608" max="3608" width="4.5703125" style="1" bestFit="1" customWidth="1"/>
    <col min="3609" max="3609" width="4.7109375" style="1" bestFit="1" customWidth="1"/>
    <col min="3610" max="3611" width="8.5703125" style="1" bestFit="1" customWidth="1"/>
    <col min="3612" max="3612" width="9.5703125" style="1" bestFit="1" customWidth="1"/>
    <col min="3613" max="3853" width="22.140625" style="1"/>
    <col min="3854" max="3854" width="7.140625" style="1" customWidth="1"/>
    <col min="3855" max="3855" width="11.7109375" style="1" bestFit="1" customWidth="1"/>
    <col min="3856" max="3856" width="20.85546875" style="1" bestFit="1" customWidth="1"/>
    <col min="3857" max="3857" width="19.85546875" style="1" bestFit="1" customWidth="1"/>
    <col min="3858" max="3858" width="15.85546875" style="1" customWidth="1"/>
    <col min="3859" max="3859" width="17.7109375" style="1" bestFit="1" customWidth="1"/>
    <col min="3860" max="3860" width="16.28515625" style="1" bestFit="1" customWidth="1"/>
    <col min="3861" max="3861" width="14.85546875" style="1" customWidth="1"/>
    <col min="3862" max="3862" width="20.5703125" style="1" bestFit="1" customWidth="1"/>
    <col min="3863" max="3863" width="37.140625" style="1" customWidth="1"/>
    <col min="3864" max="3864" width="4.5703125" style="1" bestFit="1" customWidth="1"/>
    <col min="3865" max="3865" width="4.7109375" style="1" bestFit="1" customWidth="1"/>
    <col min="3866" max="3867" width="8.5703125" style="1" bestFit="1" customWidth="1"/>
    <col min="3868" max="3868" width="9.5703125" style="1" bestFit="1" customWidth="1"/>
    <col min="3869" max="4109" width="22.140625" style="1"/>
    <col min="4110" max="4110" width="7.140625" style="1" customWidth="1"/>
    <col min="4111" max="4111" width="11.7109375" style="1" bestFit="1" customWidth="1"/>
    <col min="4112" max="4112" width="20.85546875" style="1" bestFit="1" customWidth="1"/>
    <col min="4113" max="4113" width="19.85546875" style="1" bestFit="1" customWidth="1"/>
    <col min="4114" max="4114" width="15.85546875" style="1" customWidth="1"/>
    <col min="4115" max="4115" width="17.7109375" style="1" bestFit="1" customWidth="1"/>
    <col min="4116" max="4116" width="16.28515625" style="1" bestFit="1" customWidth="1"/>
    <col min="4117" max="4117" width="14.85546875" style="1" customWidth="1"/>
    <col min="4118" max="4118" width="20.5703125" style="1" bestFit="1" customWidth="1"/>
    <col min="4119" max="4119" width="37.140625" style="1" customWidth="1"/>
    <col min="4120" max="4120" width="4.5703125" style="1" bestFit="1" customWidth="1"/>
    <col min="4121" max="4121" width="4.7109375" style="1" bestFit="1" customWidth="1"/>
    <col min="4122" max="4123" width="8.5703125" style="1" bestFit="1" customWidth="1"/>
    <col min="4124" max="4124" width="9.5703125" style="1" bestFit="1" customWidth="1"/>
    <col min="4125" max="4365" width="22.140625" style="1"/>
    <col min="4366" max="4366" width="7.140625" style="1" customWidth="1"/>
    <col min="4367" max="4367" width="11.7109375" style="1" bestFit="1" customWidth="1"/>
    <col min="4368" max="4368" width="20.85546875" style="1" bestFit="1" customWidth="1"/>
    <col min="4369" max="4369" width="19.85546875" style="1" bestFit="1" customWidth="1"/>
    <col min="4370" max="4370" width="15.85546875" style="1" customWidth="1"/>
    <col min="4371" max="4371" width="17.7109375" style="1" bestFit="1" customWidth="1"/>
    <col min="4372" max="4372" width="16.28515625" style="1" bestFit="1" customWidth="1"/>
    <col min="4373" max="4373" width="14.85546875" style="1" customWidth="1"/>
    <col min="4374" max="4374" width="20.5703125" style="1" bestFit="1" customWidth="1"/>
    <col min="4375" max="4375" width="37.140625" style="1" customWidth="1"/>
    <col min="4376" max="4376" width="4.5703125" style="1" bestFit="1" customWidth="1"/>
    <col min="4377" max="4377" width="4.7109375" style="1" bestFit="1" customWidth="1"/>
    <col min="4378" max="4379" width="8.5703125" style="1" bestFit="1" customWidth="1"/>
    <col min="4380" max="4380" width="9.5703125" style="1" bestFit="1" customWidth="1"/>
    <col min="4381" max="4621" width="22.140625" style="1"/>
    <col min="4622" max="4622" width="7.140625" style="1" customWidth="1"/>
    <col min="4623" max="4623" width="11.7109375" style="1" bestFit="1" customWidth="1"/>
    <col min="4624" max="4624" width="20.85546875" style="1" bestFit="1" customWidth="1"/>
    <col min="4625" max="4625" width="19.85546875" style="1" bestFit="1" customWidth="1"/>
    <col min="4626" max="4626" width="15.85546875" style="1" customWidth="1"/>
    <col min="4627" max="4627" width="17.7109375" style="1" bestFit="1" customWidth="1"/>
    <col min="4628" max="4628" width="16.28515625" style="1" bestFit="1" customWidth="1"/>
    <col min="4629" max="4629" width="14.85546875" style="1" customWidth="1"/>
    <col min="4630" max="4630" width="20.5703125" style="1" bestFit="1" customWidth="1"/>
    <col min="4631" max="4631" width="37.140625" style="1" customWidth="1"/>
    <col min="4632" max="4632" width="4.5703125" style="1" bestFit="1" customWidth="1"/>
    <col min="4633" max="4633" width="4.7109375" style="1" bestFit="1" customWidth="1"/>
    <col min="4634" max="4635" width="8.5703125" style="1" bestFit="1" customWidth="1"/>
    <col min="4636" max="4636" width="9.5703125" style="1" bestFit="1" customWidth="1"/>
    <col min="4637" max="4877" width="22.140625" style="1"/>
    <col min="4878" max="4878" width="7.140625" style="1" customWidth="1"/>
    <col min="4879" max="4879" width="11.7109375" style="1" bestFit="1" customWidth="1"/>
    <col min="4880" max="4880" width="20.85546875" style="1" bestFit="1" customWidth="1"/>
    <col min="4881" max="4881" width="19.85546875" style="1" bestFit="1" customWidth="1"/>
    <col min="4882" max="4882" width="15.85546875" style="1" customWidth="1"/>
    <col min="4883" max="4883" width="17.7109375" style="1" bestFit="1" customWidth="1"/>
    <col min="4884" max="4884" width="16.28515625" style="1" bestFit="1" customWidth="1"/>
    <col min="4885" max="4885" width="14.85546875" style="1" customWidth="1"/>
    <col min="4886" max="4886" width="20.5703125" style="1" bestFit="1" customWidth="1"/>
    <col min="4887" max="4887" width="37.140625" style="1" customWidth="1"/>
    <col min="4888" max="4888" width="4.5703125" style="1" bestFit="1" customWidth="1"/>
    <col min="4889" max="4889" width="4.7109375" style="1" bestFit="1" customWidth="1"/>
    <col min="4890" max="4891" width="8.5703125" style="1" bestFit="1" customWidth="1"/>
    <col min="4892" max="4892" width="9.5703125" style="1" bestFit="1" customWidth="1"/>
    <col min="4893" max="5133" width="22.140625" style="1"/>
    <col min="5134" max="5134" width="7.140625" style="1" customWidth="1"/>
    <col min="5135" max="5135" width="11.7109375" style="1" bestFit="1" customWidth="1"/>
    <col min="5136" max="5136" width="20.85546875" style="1" bestFit="1" customWidth="1"/>
    <col min="5137" max="5137" width="19.85546875" style="1" bestFit="1" customWidth="1"/>
    <col min="5138" max="5138" width="15.85546875" style="1" customWidth="1"/>
    <col min="5139" max="5139" width="17.7109375" style="1" bestFit="1" customWidth="1"/>
    <col min="5140" max="5140" width="16.28515625" style="1" bestFit="1" customWidth="1"/>
    <col min="5141" max="5141" width="14.85546875" style="1" customWidth="1"/>
    <col min="5142" max="5142" width="20.5703125" style="1" bestFit="1" customWidth="1"/>
    <col min="5143" max="5143" width="37.140625" style="1" customWidth="1"/>
    <col min="5144" max="5144" width="4.5703125" style="1" bestFit="1" customWidth="1"/>
    <col min="5145" max="5145" width="4.7109375" style="1" bestFit="1" customWidth="1"/>
    <col min="5146" max="5147" width="8.5703125" style="1" bestFit="1" customWidth="1"/>
    <col min="5148" max="5148" width="9.5703125" style="1" bestFit="1" customWidth="1"/>
    <col min="5149" max="5389" width="22.140625" style="1"/>
    <col min="5390" max="5390" width="7.140625" style="1" customWidth="1"/>
    <col min="5391" max="5391" width="11.7109375" style="1" bestFit="1" customWidth="1"/>
    <col min="5392" max="5392" width="20.85546875" style="1" bestFit="1" customWidth="1"/>
    <col min="5393" max="5393" width="19.85546875" style="1" bestFit="1" customWidth="1"/>
    <col min="5394" max="5394" width="15.85546875" style="1" customWidth="1"/>
    <col min="5395" max="5395" width="17.7109375" style="1" bestFit="1" customWidth="1"/>
    <col min="5396" max="5396" width="16.28515625" style="1" bestFit="1" customWidth="1"/>
    <col min="5397" max="5397" width="14.85546875" style="1" customWidth="1"/>
    <col min="5398" max="5398" width="20.5703125" style="1" bestFit="1" customWidth="1"/>
    <col min="5399" max="5399" width="37.140625" style="1" customWidth="1"/>
    <col min="5400" max="5400" width="4.5703125" style="1" bestFit="1" customWidth="1"/>
    <col min="5401" max="5401" width="4.7109375" style="1" bestFit="1" customWidth="1"/>
    <col min="5402" max="5403" width="8.5703125" style="1" bestFit="1" customWidth="1"/>
    <col min="5404" max="5404" width="9.5703125" style="1" bestFit="1" customWidth="1"/>
    <col min="5405" max="5645" width="22.140625" style="1"/>
    <col min="5646" max="5646" width="7.140625" style="1" customWidth="1"/>
    <col min="5647" max="5647" width="11.7109375" style="1" bestFit="1" customWidth="1"/>
    <col min="5648" max="5648" width="20.85546875" style="1" bestFit="1" customWidth="1"/>
    <col min="5649" max="5649" width="19.85546875" style="1" bestFit="1" customWidth="1"/>
    <col min="5650" max="5650" width="15.85546875" style="1" customWidth="1"/>
    <col min="5651" max="5651" width="17.7109375" style="1" bestFit="1" customWidth="1"/>
    <col min="5652" max="5652" width="16.28515625" style="1" bestFit="1" customWidth="1"/>
    <col min="5653" max="5653" width="14.85546875" style="1" customWidth="1"/>
    <col min="5654" max="5654" width="20.5703125" style="1" bestFit="1" customWidth="1"/>
    <col min="5655" max="5655" width="37.140625" style="1" customWidth="1"/>
    <col min="5656" max="5656" width="4.5703125" style="1" bestFit="1" customWidth="1"/>
    <col min="5657" max="5657" width="4.7109375" style="1" bestFit="1" customWidth="1"/>
    <col min="5658" max="5659" width="8.5703125" style="1" bestFit="1" customWidth="1"/>
    <col min="5660" max="5660" width="9.5703125" style="1" bestFit="1" customWidth="1"/>
    <col min="5661" max="5901" width="22.140625" style="1"/>
    <col min="5902" max="5902" width="7.140625" style="1" customWidth="1"/>
    <col min="5903" max="5903" width="11.7109375" style="1" bestFit="1" customWidth="1"/>
    <col min="5904" max="5904" width="20.85546875" style="1" bestFit="1" customWidth="1"/>
    <col min="5905" max="5905" width="19.85546875" style="1" bestFit="1" customWidth="1"/>
    <col min="5906" max="5906" width="15.85546875" style="1" customWidth="1"/>
    <col min="5907" max="5907" width="17.7109375" style="1" bestFit="1" customWidth="1"/>
    <col min="5908" max="5908" width="16.28515625" style="1" bestFit="1" customWidth="1"/>
    <col min="5909" max="5909" width="14.85546875" style="1" customWidth="1"/>
    <col min="5910" max="5910" width="20.5703125" style="1" bestFit="1" customWidth="1"/>
    <col min="5911" max="5911" width="37.140625" style="1" customWidth="1"/>
    <col min="5912" max="5912" width="4.5703125" style="1" bestFit="1" customWidth="1"/>
    <col min="5913" max="5913" width="4.7109375" style="1" bestFit="1" customWidth="1"/>
    <col min="5914" max="5915" width="8.5703125" style="1" bestFit="1" customWidth="1"/>
    <col min="5916" max="5916" width="9.5703125" style="1" bestFit="1" customWidth="1"/>
    <col min="5917" max="6157" width="22.140625" style="1"/>
    <col min="6158" max="6158" width="7.140625" style="1" customWidth="1"/>
    <col min="6159" max="6159" width="11.7109375" style="1" bestFit="1" customWidth="1"/>
    <col min="6160" max="6160" width="20.85546875" style="1" bestFit="1" customWidth="1"/>
    <col min="6161" max="6161" width="19.85546875" style="1" bestFit="1" customWidth="1"/>
    <col min="6162" max="6162" width="15.85546875" style="1" customWidth="1"/>
    <col min="6163" max="6163" width="17.7109375" style="1" bestFit="1" customWidth="1"/>
    <col min="6164" max="6164" width="16.28515625" style="1" bestFit="1" customWidth="1"/>
    <col min="6165" max="6165" width="14.85546875" style="1" customWidth="1"/>
    <col min="6166" max="6166" width="20.5703125" style="1" bestFit="1" customWidth="1"/>
    <col min="6167" max="6167" width="37.140625" style="1" customWidth="1"/>
    <col min="6168" max="6168" width="4.5703125" style="1" bestFit="1" customWidth="1"/>
    <col min="6169" max="6169" width="4.7109375" style="1" bestFit="1" customWidth="1"/>
    <col min="6170" max="6171" width="8.5703125" style="1" bestFit="1" customWidth="1"/>
    <col min="6172" max="6172" width="9.5703125" style="1" bestFit="1" customWidth="1"/>
    <col min="6173" max="6413" width="22.140625" style="1"/>
    <col min="6414" max="6414" width="7.140625" style="1" customWidth="1"/>
    <col min="6415" max="6415" width="11.7109375" style="1" bestFit="1" customWidth="1"/>
    <col min="6416" max="6416" width="20.85546875" style="1" bestFit="1" customWidth="1"/>
    <col min="6417" max="6417" width="19.85546875" style="1" bestFit="1" customWidth="1"/>
    <col min="6418" max="6418" width="15.85546875" style="1" customWidth="1"/>
    <col min="6419" max="6419" width="17.7109375" style="1" bestFit="1" customWidth="1"/>
    <col min="6420" max="6420" width="16.28515625" style="1" bestFit="1" customWidth="1"/>
    <col min="6421" max="6421" width="14.85546875" style="1" customWidth="1"/>
    <col min="6422" max="6422" width="20.5703125" style="1" bestFit="1" customWidth="1"/>
    <col min="6423" max="6423" width="37.140625" style="1" customWidth="1"/>
    <col min="6424" max="6424" width="4.5703125" style="1" bestFit="1" customWidth="1"/>
    <col min="6425" max="6425" width="4.7109375" style="1" bestFit="1" customWidth="1"/>
    <col min="6426" max="6427" width="8.5703125" style="1" bestFit="1" customWidth="1"/>
    <col min="6428" max="6428" width="9.5703125" style="1" bestFit="1" customWidth="1"/>
    <col min="6429" max="6669" width="22.140625" style="1"/>
    <col min="6670" max="6670" width="7.140625" style="1" customWidth="1"/>
    <col min="6671" max="6671" width="11.7109375" style="1" bestFit="1" customWidth="1"/>
    <col min="6672" max="6672" width="20.85546875" style="1" bestFit="1" customWidth="1"/>
    <col min="6673" max="6673" width="19.85546875" style="1" bestFit="1" customWidth="1"/>
    <col min="6674" max="6674" width="15.85546875" style="1" customWidth="1"/>
    <col min="6675" max="6675" width="17.7109375" style="1" bestFit="1" customWidth="1"/>
    <col min="6676" max="6676" width="16.28515625" style="1" bestFit="1" customWidth="1"/>
    <col min="6677" max="6677" width="14.85546875" style="1" customWidth="1"/>
    <col min="6678" max="6678" width="20.5703125" style="1" bestFit="1" customWidth="1"/>
    <col min="6679" max="6679" width="37.140625" style="1" customWidth="1"/>
    <col min="6680" max="6680" width="4.5703125" style="1" bestFit="1" customWidth="1"/>
    <col min="6681" max="6681" width="4.7109375" style="1" bestFit="1" customWidth="1"/>
    <col min="6682" max="6683" width="8.5703125" style="1" bestFit="1" customWidth="1"/>
    <col min="6684" max="6684" width="9.5703125" style="1" bestFit="1" customWidth="1"/>
    <col min="6685" max="6925" width="22.140625" style="1"/>
    <col min="6926" max="6926" width="7.140625" style="1" customWidth="1"/>
    <col min="6927" max="6927" width="11.7109375" style="1" bestFit="1" customWidth="1"/>
    <col min="6928" max="6928" width="20.85546875" style="1" bestFit="1" customWidth="1"/>
    <col min="6929" max="6929" width="19.85546875" style="1" bestFit="1" customWidth="1"/>
    <col min="6930" max="6930" width="15.85546875" style="1" customWidth="1"/>
    <col min="6931" max="6931" width="17.7109375" style="1" bestFit="1" customWidth="1"/>
    <col min="6932" max="6932" width="16.28515625" style="1" bestFit="1" customWidth="1"/>
    <col min="6933" max="6933" width="14.85546875" style="1" customWidth="1"/>
    <col min="6934" max="6934" width="20.5703125" style="1" bestFit="1" customWidth="1"/>
    <col min="6935" max="6935" width="37.140625" style="1" customWidth="1"/>
    <col min="6936" max="6936" width="4.5703125" style="1" bestFit="1" customWidth="1"/>
    <col min="6937" max="6937" width="4.7109375" style="1" bestFit="1" customWidth="1"/>
    <col min="6938" max="6939" width="8.5703125" style="1" bestFit="1" customWidth="1"/>
    <col min="6940" max="6940" width="9.5703125" style="1" bestFit="1" customWidth="1"/>
    <col min="6941" max="7181" width="22.140625" style="1"/>
    <col min="7182" max="7182" width="7.140625" style="1" customWidth="1"/>
    <col min="7183" max="7183" width="11.7109375" style="1" bestFit="1" customWidth="1"/>
    <col min="7184" max="7184" width="20.85546875" style="1" bestFit="1" customWidth="1"/>
    <col min="7185" max="7185" width="19.85546875" style="1" bestFit="1" customWidth="1"/>
    <col min="7186" max="7186" width="15.85546875" style="1" customWidth="1"/>
    <col min="7187" max="7187" width="17.7109375" style="1" bestFit="1" customWidth="1"/>
    <col min="7188" max="7188" width="16.28515625" style="1" bestFit="1" customWidth="1"/>
    <col min="7189" max="7189" width="14.85546875" style="1" customWidth="1"/>
    <col min="7190" max="7190" width="20.5703125" style="1" bestFit="1" customWidth="1"/>
    <col min="7191" max="7191" width="37.140625" style="1" customWidth="1"/>
    <col min="7192" max="7192" width="4.5703125" style="1" bestFit="1" customWidth="1"/>
    <col min="7193" max="7193" width="4.7109375" style="1" bestFit="1" customWidth="1"/>
    <col min="7194" max="7195" width="8.5703125" style="1" bestFit="1" customWidth="1"/>
    <col min="7196" max="7196" width="9.5703125" style="1" bestFit="1" customWidth="1"/>
    <col min="7197" max="7437" width="22.140625" style="1"/>
    <col min="7438" max="7438" width="7.140625" style="1" customWidth="1"/>
    <col min="7439" max="7439" width="11.7109375" style="1" bestFit="1" customWidth="1"/>
    <col min="7440" max="7440" width="20.85546875" style="1" bestFit="1" customWidth="1"/>
    <col min="7441" max="7441" width="19.85546875" style="1" bestFit="1" customWidth="1"/>
    <col min="7442" max="7442" width="15.85546875" style="1" customWidth="1"/>
    <col min="7443" max="7443" width="17.7109375" style="1" bestFit="1" customWidth="1"/>
    <col min="7444" max="7444" width="16.28515625" style="1" bestFit="1" customWidth="1"/>
    <col min="7445" max="7445" width="14.85546875" style="1" customWidth="1"/>
    <col min="7446" max="7446" width="20.5703125" style="1" bestFit="1" customWidth="1"/>
    <col min="7447" max="7447" width="37.140625" style="1" customWidth="1"/>
    <col min="7448" max="7448" width="4.5703125" style="1" bestFit="1" customWidth="1"/>
    <col min="7449" max="7449" width="4.7109375" style="1" bestFit="1" customWidth="1"/>
    <col min="7450" max="7451" width="8.5703125" style="1" bestFit="1" customWidth="1"/>
    <col min="7452" max="7452" width="9.5703125" style="1" bestFit="1" customWidth="1"/>
    <col min="7453" max="7693" width="22.140625" style="1"/>
    <col min="7694" max="7694" width="7.140625" style="1" customWidth="1"/>
    <col min="7695" max="7695" width="11.7109375" style="1" bestFit="1" customWidth="1"/>
    <col min="7696" max="7696" width="20.85546875" style="1" bestFit="1" customWidth="1"/>
    <col min="7697" max="7697" width="19.85546875" style="1" bestFit="1" customWidth="1"/>
    <col min="7698" max="7698" width="15.85546875" style="1" customWidth="1"/>
    <col min="7699" max="7699" width="17.7109375" style="1" bestFit="1" customWidth="1"/>
    <col min="7700" max="7700" width="16.28515625" style="1" bestFit="1" customWidth="1"/>
    <col min="7701" max="7701" width="14.85546875" style="1" customWidth="1"/>
    <col min="7702" max="7702" width="20.5703125" style="1" bestFit="1" customWidth="1"/>
    <col min="7703" max="7703" width="37.140625" style="1" customWidth="1"/>
    <col min="7704" max="7704" width="4.5703125" style="1" bestFit="1" customWidth="1"/>
    <col min="7705" max="7705" width="4.7109375" style="1" bestFit="1" customWidth="1"/>
    <col min="7706" max="7707" width="8.5703125" style="1" bestFit="1" customWidth="1"/>
    <col min="7708" max="7708" width="9.5703125" style="1" bestFit="1" customWidth="1"/>
    <col min="7709" max="7949" width="22.140625" style="1"/>
    <col min="7950" max="7950" width="7.140625" style="1" customWidth="1"/>
    <col min="7951" max="7951" width="11.7109375" style="1" bestFit="1" customWidth="1"/>
    <col min="7952" max="7952" width="20.85546875" style="1" bestFit="1" customWidth="1"/>
    <col min="7953" max="7953" width="19.85546875" style="1" bestFit="1" customWidth="1"/>
    <col min="7954" max="7954" width="15.85546875" style="1" customWidth="1"/>
    <col min="7955" max="7955" width="17.7109375" style="1" bestFit="1" customWidth="1"/>
    <col min="7956" max="7956" width="16.28515625" style="1" bestFit="1" customWidth="1"/>
    <col min="7957" max="7957" width="14.85546875" style="1" customWidth="1"/>
    <col min="7958" max="7958" width="20.5703125" style="1" bestFit="1" customWidth="1"/>
    <col min="7959" max="7959" width="37.140625" style="1" customWidth="1"/>
    <col min="7960" max="7960" width="4.5703125" style="1" bestFit="1" customWidth="1"/>
    <col min="7961" max="7961" width="4.7109375" style="1" bestFit="1" customWidth="1"/>
    <col min="7962" max="7963" width="8.5703125" style="1" bestFit="1" customWidth="1"/>
    <col min="7964" max="7964" width="9.5703125" style="1" bestFit="1" customWidth="1"/>
    <col min="7965" max="8205" width="22.140625" style="1"/>
    <col min="8206" max="8206" width="7.140625" style="1" customWidth="1"/>
    <col min="8207" max="8207" width="11.7109375" style="1" bestFit="1" customWidth="1"/>
    <col min="8208" max="8208" width="20.85546875" style="1" bestFit="1" customWidth="1"/>
    <col min="8209" max="8209" width="19.85546875" style="1" bestFit="1" customWidth="1"/>
    <col min="8210" max="8210" width="15.85546875" style="1" customWidth="1"/>
    <col min="8211" max="8211" width="17.7109375" style="1" bestFit="1" customWidth="1"/>
    <col min="8212" max="8212" width="16.28515625" style="1" bestFit="1" customWidth="1"/>
    <col min="8213" max="8213" width="14.85546875" style="1" customWidth="1"/>
    <col min="8214" max="8214" width="20.5703125" style="1" bestFit="1" customWidth="1"/>
    <col min="8215" max="8215" width="37.140625" style="1" customWidth="1"/>
    <col min="8216" max="8216" width="4.5703125" style="1" bestFit="1" customWidth="1"/>
    <col min="8217" max="8217" width="4.7109375" style="1" bestFit="1" customWidth="1"/>
    <col min="8218" max="8219" width="8.5703125" style="1" bestFit="1" customWidth="1"/>
    <col min="8220" max="8220" width="9.5703125" style="1" bestFit="1" customWidth="1"/>
    <col min="8221" max="8461" width="22.140625" style="1"/>
    <col min="8462" max="8462" width="7.140625" style="1" customWidth="1"/>
    <col min="8463" max="8463" width="11.7109375" style="1" bestFit="1" customWidth="1"/>
    <col min="8464" max="8464" width="20.85546875" style="1" bestFit="1" customWidth="1"/>
    <col min="8465" max="8465" width="19.85546875" style="1" bestFit="1" customWidth="1"/>
    <col min="8466" max="8466" width="15.85546875" style="1" customWidth="1"/>
    <col min="8467" max="8467" width="17.7109375" style="1" bestFit="1" customWidth="1"/>
    <col min="8468" max="8468" width="16.28515625" style="1" bestFit="1" customWidth="1"/>
    <col min="8469" max="8469" width="14.85546875" style="1" customWidth="1"/>
    <col min="8470" max="8470" width="20.5703125" style="1" bestFit="1" customWidth="1"/>
    <col min="8471" max="8471" width="37.140625" style="1" customWidth="1"/>
    <col min="8472" max="8472" width="4.5703125" style="1" bestFit="1" customWidth="1"/>
    <col min="8473" max="8473" width="4.7109375" style="1" bestFit="1" customWidth="1"/>
    <col min="8474" max="8475" width="8.5703125" style="1" bestFit="1" customWidth="1"/>
    <col min="8476" max="8476" width="9.5703125" style="1" bestFit="1" customWidth="1"/>
    <col min="8477" max="8717" width="22.140625" style="1"/>
    <col min="8718" max="8718" width="7.140625" style="1" customWidth="1"/>
    <col min="8719" max="8719" width="11.7109375" style="1" bestFit="1" customWidth="1"/>
    <col min="8720" max="8720" width="20.85546875" style="1" bestFit="1" customWidth="1"/>
    <col min="8721" max="8721" width="19.85546875" style="1" bestFit="1" customWidth="1"/>
    <col min="8722" max="8722" width="15.85546875" style="1" customWidth="1"/>
    <col min="8723" max="8723" width="17.7109375" style="1" bestFit="1" customWidth="1"/>
    <col min="8724" max="8724" width="16.28515625" style="1" bestFit="1" customWidth="1"/>
    <col min="8725" max="8725" width="14.85546875" style="1" customWidth="1"/>
    <col min="8726" max="8726" width="20.5703125" style="1" bestFit="1" customWidth="1"/>
    <col min="8727" max="8727" width="37.140625" style="1" customWidth="1"/>
    <col min="8728" max="8728" width="4.5703125" style="1" bestFit="1" customWidth="1"/>
    <col min="8729" max="8729" width="4.7109375" style="1" bestFit="1" customWidth="1"/>
    <col min="8730" max="8731" width="8.5703125" style="1" bestFit="1" customWidth="1"/>
    <col min="8732" max="8732" width="9.5703125" style="1" bestFit="1" customWidth="1"/>
    <col min="8733" max="8973" width="22.140625" style="1"/>
    <col min="8974" max="8974" width="7.140625" style="1" customWidth="1"/>
    <col min="8975" max="8975" width="11.7109375" style="1" bestFit="1" customWidth="1"/>
    <col min="8976" max="8976" width="20.85546875" style="1" bestFit="1" customWidth="1"/>
    <col min="8977" max="8977" width="19.85546875" style="1" bestFit="1" customWidth="1"/>
    <col min="8978" max="8978" width="15.85546875" style="1" customWidth="1"/>
    <col min="8979" max="8979" width="17.7109375" style="1" bestFit="1" customWidth="1"/>
    <col min="8980" max="8980" width="16.28515625" style="1" bestFit="1" customWidth="1"/>
    <col min="8981" max="8981" width="14.85546875" style="1" customWidth="1"/>
    <col min="8982" max="8982" width="20.5703125" style="1" bestFit="1" customWidth="1"/>
    <col min="8983" max="8983" width="37.140625" style="1" customWidth="1"/>
    <col min="8984" max="8984" width="4.5703125" style="1" bestFit="1" customWidth="1"/>
    <col min="8985" max="8985" width="4.7109375" style="1" bestFit="1" customWidth="1"/>
    <col min="8986" max="8987" width="8.5703125" style="1" bestFit="1" customWidth="1"/>
    <col min="8988" max="8988" width="9.5703125" style="1" bestFit="1" customWidth="1"/>
    <col min="8989" max="9229" width="22.140625" style="1"/>
    <col min="9230" max="9230" width="7.140625" style="1" customWidth="1"/>
    <col min="9231" max="9231" width="11.7109375" style="1" bestFit="1" customWidth="1"/>
    <col min="9232" max="9232" width="20.85546875" style="1" bestFit="1" customWidth="1"/>
    <col min="9233" max="9233" width="19.85546875" style="1" bestFit="1" customWidth="1"/>
    <col min="9234" max="9234" width="15.85546875" style="1" customWidth="1"/>
    <col min="9235" max="9235" width="17.7109375" style="1" bestFit="1" customWidth="1"/>
    <col min="9236" max="9236" width="16.28515625" style="1" bestFit="1" customWidth="1"/>
    <col min="9237" max="9237" width="14.85546875" style="1" customWidth="1"/>
    <col min="9238" max="9238" width="20.5703125" style="1" bestFit="1" customWidth="1"/>
    <col min="9239" max="9239" width="37.140625" style="1" customWidth="1"/>
    <col min="9240" max="9240" width="4.5703125" style="1" bestFit="1" customWidth="1"/>
    <col min="9241" max="9241" width="4.7109375" style="1" bestFit="1" customWidth="1"/>
    <col min="9242" max="9243" width="8.5703125" style="1" bestFit="1" customWidth="1"/>
    <col min="9244" max="9244" width="9.5703125" style="1" bestFit="1" customWidth="1"/>
    <col min="9245" max="9485" width="22.140625" style="1"/>
    <col min="9486" max="9486" width="7.140625" style="1" customWidth="1"/>
    <col min="9487" max="9487" width="11.7109375" style="1" bestFit="1" customWidth="1"/>
    <col min="9488" max="9488" width="20.85546875" style="1" bestFit="1" customWidth="1"/>
    <col min="9489" max="9489" width="19.85546875" style="1" bestFit="1" customWidth="1"/>
    <col min="9490" max="9490" width="15.85546875" style="1" customWidth="1"/>
    <col min="9491" max="9491" width="17.7109375" style="1" bestFit="1" customWidth="1"/>
    <col min="9492" max="9492" width="16.28515625" style="1" bestFit="1" customWidth="1"/>
    <col min="9493" max="9493" width="14.85546875" style="1" customWidth="1"/>
    <col min="9494" max="9494" width="20.5703125" style="1" bestFit="1" customWidth="1"/>
    <col min="9495" max="9495" width="37.140625" style="1" customWidth="1"/>
    <col min="9496" max="9496" width="4.5703125" style="1" bestFit="1" customWidth="1"/>
    <col min="9497" max="9497" width="4.7109375" style="1" bestFit="1" customWidth="1"/>
    <col min="9498" max="9499" width="8.5703125" style="1" bestFit="1" customWidth="1"/>
    <col min="9500" max="9500" width="9.5703125" style="1" bestFit="1" customWidth="1"/>
    <col min="9501" max="9741" width="22.140625" style="1"/>
    <col min="9742" max="9742" width="7.140625" style="1" customWidth="1"/>
    <col min="9743" max="9743" width="11.7109375" style="1" bestFit="1" customWidth="1"/>
    <col min="9744" max="9744" width="20.85546875" style="1" bestFit="1" customWidth="1"/>
    <col min="9745" max="9745" width="19.85546875" style="1" bestFit="1" customWidth="1"/>
    <col min="9746" max="9746" width="15.85546875" style="1" customWidth="1"/>
    <col min="9747" max="9747" width="17.7109375" style="1" bestFit="1" customWidth="1"/>
    <col min="9748" max="9748" width="16.28515625" style="1" bestFit="1" customWidth="1"/>
    <col min="9749" max="9749" width="14.85546875" style="1" customWidth="1"/>
    <col min="9750" max="9750" width="20.5703125" style="1" bestFit="1" customWidth="1"/>
    <col min="9751" max="9751" width="37.140625" style="1" customWidth="1"/>
    <col min="9752" max="9752" width="4.5703125" style="1" bestFit="1" customWidth="1"/>
    <col min="9753" max="9753" width="4.7109375" style="1" bestFit="1" customWidth="1"/>
    <col min="9754" max="9755" width="8.5703125" style="1" bestFit="1" customWidth="1"/>
    <col min="9756" max="9756" width="9.5703125" style="1" bestFit="1" customWidth="1"/>
    <col min="9757" max="9997" width="22.140625" style="1"/>
    <col min="9998" max="9998" width="7.140625" style="1" customWidth="1"/>
    <col min="9999" max="9999" width="11.7109375" style="1" bestFit="1" customWidth="1"/>
    <col min="10000" max="10000" width="20.85546875" style="1" bestFit="1" customWidth="1"/>
    <col min="10001" max="10001" width="19.85546875" style="1" bestFit="1" customWidth="1"/>
    <col min="10002" max="10002" width="15.85546875" style="1" customWidth="1"/>
    <col min="10003" max="10003" width="17.7109375" style="1" bestFit="1" customWidth="1"/>
    <col min="10004" max="10004" width="16.28515625" style="1" bestFit="1" customWidth="1"/>
    <col min="10005" max="10005" width="14.85546875" style="1" customWidth="1"/>
    <col min="10006" max="10006" width="20.5703125" style="1" bestFit="1" customWidth="1"/>
    <col min="10007" max="10007" width="37.140625" style="1" customWidth="1"/>
    <col min="10008" max="10008" width="4.5703125" style="1" bestFit="1" customWidth="1"/>
    <col min="10009" max="10009" width="4.7109375" style="1" bestFit="1" customWidth="1"/>
    <col min="10010" max="10011" width="8.5703125" style="1" bestFit="1" customWidth="1"/>
    <col min="10012" max="10012" width="9.5703125" style="1" bestFit="1" customWidth="1"/>
    <col min="10013" max="10253" width="22.140625" style="1"/>
    <col min="10254" max="10254" width="7.140625" style="1" customWidth="1"/>
    <col min="10255" max="10255" width="11.7109375" style="1" bestFit="1" customWidth="1"/>
    <col min="10256" max="10256" width="20.85546875" style="1" bestFit="1" customWidth="1"/>
    <col min="10257" max="10257" width="19.85546875" style="1" bestFit="1" customWidth="1"/>
    <col min="10258" max="10258" width="15.85546875" style="1" customWidth="1"/>
    <col min="10259" max="10259" width="17.7109375" style="1" bestFit="1" customWidth="1"/>
    <col min="10260" max="10260" width="16.28515625" style="1" bestFit="1" customWidth="1"/>
    <col min="10261" max="10261" width="14.85546875" style="1" customWidth="1"/>
    <col min="10262" max="10262" width="20.5703125" style="1" bestFit="1" customWidth="1"/>
    <col min="10263" max="10263" width="37.140625" style="1" customWidth="1"/>
    <col min="10264" max="10264" width="4.5703125" style="1" bestFit="1" customWidth="1"/>
    <col min="10265" max="10265" width="4.7109375" style="1" bestFit="1" customWidth="1"/>
    <col min="10266" max="10267" width="8.5703125" style="1" bestFit="1" customWidth="1"/>
    <col min="10268" max="10268" width="9.5703125" style="1" bestFit="1" customWidth="1"/>
    <col min="10269" max="10509" width="22.140625" style="1"/>
    <col min="10510" max="10510" width="7.140625" style="1" customWidth="1"/>
    <col min="10511" max="10511" width="11.7109375" style="1" bestFit="1" customWidth="1"/>
    <col min="10512" max="10512" width="20.85546875" style="1" bestFit="1" customWidth="1"/>
    <col min="10513" max="10513" width="19.85546875" style="1" bestFit="1" customWidth="1"/>
    <col min="10514" max="10514" width="15.85546875" style="1" customWidth="1"/>
    <col min="10515" max="10515" width="17.7109375" style="1" bestFit="1" customWidth="1"/>
    <col min="10516" max="10516" width="16.28515625" style="1" bestFit="1" customWidth="1"/>
    <col min="10517" max="10517" width="14.85546875" style="1" customWidth="1"/>
    <col min="10518" max="10518" width="20.5703125" style="1" bestFit="1" customWidth="1"/>
    <col min="10519" max="10519" width="37.140625" style="1" customWidth="1"/>
    <col min="10520" max="10520" width="4.5703125" style="1" bestFit="1" customWidth="1"/>
    <col min="10521" max="10521" width="4.7109375" style="1" bestFit="1" customWidth="1"/>
    <col min="10522" max="10523" width="8.5703125" style="1" bestFit="1" customWidth="1"/>
    <col min="10524" max="10524" width="9.5703125" style="1" bestFit="1" customWidth="1"/>
    <col min="10525" max="10765" width="22.140625" style="1"/>
    <col min="10766" max="10766" width="7.140625" style="1" customWidth="1"/>
    <col min="10767" max="10767" width="11.7109375" style="1" bestFit="1" customWidth="1"/>
    <col min="10768" max="10768" width="20.85546875" style="1" bestFit="1" customWidth="1"/>
    <col min="10769" max="10769" width="19.85546875" style="1" bestFit="1" customWidth="1"/>
    <col min="10770" max="10770" width="15.85546875" style="1" customWidth="1"/>
    <col min="10771" max="10771" width="17.7109375" style="1" bestFit="1" customWidth="1"/>
    <col min="10772" max="10772" width="16.28515625" style="1" bestFit="1" customWidth="1"/>
    <col min="10773" max="10773" width="14.85546875" style="1" customWidth="1"/>
    <col min="10774" max="10774" width="20.5703125" style="1" bestFit="1" customWidth="1"/>
    <col min="10775" max="10775" width="37.140625" style="1" customWidth="1"/>
    <col min="10776" max="10776" width="4.5703125" style="1" bestFit="1" customWidth="1"/>
    <col min="10777" max="10777" width="4.7109375" style="1" bestFit="1" customWidth="1"/>
    <col min="10778" max="10779" width="8.5703125" style="1" bestFit="1" customWidth="1"/>
    <col min="10780" max="10780" width="9.5703125" style="1" bestFit="1" customWidth="1"/>
    <col min="10781" max="11021" width="22.140625" style="1"/>
    <col min="11022" max="11022" width="7.140625" style="1" customWidth="1"/>
    <col min="11023" max="11023" width="11.7109375" style="1" bestFit="1" customWidth="1"/>
    <col min="11024" max="11024" width="20.85546875" style="1" bestFit="1" customWidth="1"/>
    <col min="11025" max="11025" width="19.85546875" style="1" bestFit="1" customWidth="1"/>
    <col min="11026" max="11026" width="15.85546875" style="1" customWidth="1"/>
    <col min="11027" max="11027" width="17.7109375" style="1" bestFit="1" customWidth="1"/>
    <col min="11028" max="11028" width="16.28515625" style="1" bestFit="1" customWidth="1"/>
    <col min="11029" max="11029" width="14.85546875" style="1" customWidth="1"/>
    <col min="11030" max="11030" width="20.5703125" style="1" bestFit="1" customWidth="1"/>
    <col min="11031" max="11031" width="37.140625" style="1" customWidth="1"/>
    <col min="11032" max="11032" width="4.5703125" style="1" bestFit="1" customWidth="1"/>
    <col min="11033" max="11033" width="4.7109375" style="1" bestFit="1" customWidth="1"/>
    <col min="11034" max="11035" width="8.5703125" style="1" bestFit="1" customWidth="1"/>
    <col min="11036" max="11036" width="9.5703125" style="1" bestFit="1" customWidth="1"/>
    <col min="11037" max="11277" width="22.140625" style="1"/>
    <col min="11278" max="11278" width="7.140625" style="1" customWidth="1"/>
    <col min="11279" max="11279" width="11.7109375" style="1" bestFit="1" customWidth="1"/>
    <col min="11280" max="11280" width="20.85546875" style="1" bestFit="1" customWidth="1"/>
    <col min="11281" max="11281" width="19.85546875" style="1" bestFit="1" customWidth="1"/>
    <col min="11282" max="11282" width="15.85546875" style="1" customWidth="1"/>
    <col min="11283" max="11283" width="17.7109375" style="1" bestFit="1" customWidth="1"/>
    <col min="11284" max="11284" width="16.28515625" style="1" bestFit="1" customWidth="1"/>
    <col min="11285" max="11285" width="14.85546875" style="1" customWidth="1"/>
    <col min="11286" max="11286" width="20.5703125" style="1" bestFit="1" customWidth="1"/>
    <col min="11287" max="11287" width="37.140625" style="1" customWidth="1"/>
    <col min="11288" max="11288" width="4.5703125" style="1" bestFit="1" customWidth="1"/>
    <col min="11289" max="11289" width="4.7109375" style="1" bestFit="1" customWidth="1"/>
    <col min="11290" max="11291" width="8.5703125" style="1" bestFit="1" customWidth="1"/>
    <col min="11292" max="11292" width="9.5703125" style="1" bestFit="1" customWidth="1"/>
    <col min="11293" max="11533" width="22.140625" style="1"/>
    <col min="11534" max="11534" width="7.140625" style="1" customWidth="1"/>
    <col min="11535" max="11535" width="11.7109375" style="1" bestFit="1" customWidth="1"/>
    <col min="11536" max="11536" width="20.85546875" style="1" bestFit="1" customWidth="1"/>
    <col min="11537" max="11537" width="19.85546875" style="1" bestFit="1" customWidth="1"/>
    <col min="11538" max="11538" width="15.85546875" style="1" customWidth="1"/>
    <col min="11539" max="11539" width="17.7109375" style="1" bestFit="1" customWidth="1"/>
    <col min="11540" max="11540" width="16.28515625" style="1" bestFit="1" customWidth="1"/>
    <col min="11541" max="11541" width="14.85546875" style="1" customWidth="1"/>
    <col min="11542" max="11542" width="20.5703125" style="1" bestFit="1" customWidth="1"/>
    <col min="11543" max="11543" width="37.140625" style="1" customWidth="1"/>
    <col min="11544" max="11544" width="4.5703125" style="1" bestFit="1" customWidth="1"/>
    <col min="11545" max="11545" width="4.7109375" style="1" bestFit="1" customWidth="1"/>
    <col min="11546" max="11547" width="8.5703125" style="1" bestFit="1" customWidth="1"/>
    <col min="11548" max="11548" width="9.5703125" style="1" bestFit="1" customWidth="1"/>
    <col min="11549" max="11789" width="22.140625" style="1"/>
    <col min="11790" max="11790" width="7.140625" style="1" customWidth="1"/>
    <col min="11791" max="11791" width="11.7109375" style="1" bestFit="1" customWidth="1"/>
    <col min="11792" max="11792" width="20.85546875" style="1" bestFit="1" customWidth="1"/>
    <col min="11793" max="11793" width="19.85546875" style="1" bestFit="1" customWidth="1"/>
    <col min="11794" max="11794" width="15.85546875" style="1" customWidth="1"/>
    <col min="11795" max="11795" width="17.7109375" style="1" bestFit="1" customWidth="1"/>
    <col min="11796" max="11796" width="16.28515625" style="1" bestFit="1" customWidth="1"/>
    <col min="11797" max="11797" width="14.85546875" style="1" customWidth="1"/>
    <col min="11798" max="11798" width="20.5703125" style="1" bestFit="1" customWidth="1"/>
    <col min="11799" max="11799" width="37.140625" style="1" customWidth="1"/>
    <col min="11800" max="11800" width="4.5703125" style="1" bestFit="1" customWidth="1"/>
    <col min="11801" max="11801" width="4.7109375" style="1" bestFit="1" customWidth="1"/>
    <col min="11802" max="11803" width="8.5703125" style="1" bestFit="1" customWidth="1"/>
    <col min="11804" max="11804" width="9.5703125" style="1" bestFit="1" customWidth="1"/>
    <col min="11805" max="12045" width="22.140625" style="1"/>
    <col min="12046" max="12046" width="7.140625" style="1" customWidth="1"/>
    <col min="12047" max="12047" width="11.7109375" style="1" bestFit="1" customWidth="1"/>
    <col min="12048" max="12048" width="20.85546875" style="1" bestFit="1" customWidth="1"/>
    <col min="12049" max="12049" width="19.85546875" style="1" bestFit="1" customWidth="1"/>
    <col min="12050" max="12050" width="15.85546875" style="1" customWidth="1"/>
    <col min="12051" max="12051" width="17.7109375" style="1" bestFit="1" customWidth="1"/>
    <col min="12052" max="12052" width="16.28515625" style="1" bestFit="1" customWidth="1"/>
    <col min="12053" max="12053" width="14.85546875" style="1" customWidth="1"/>
    <col min="12054" max="12054" width="20.5703125" style="1" bestFit="1" customWidth="1"/>
    <col min="12055" max="12055" width="37.140625" style="1" customWidth="1"/>
    <col min="12056" max="12056" width="4.5703125" style="1" bestFit="1" customWidth="1"/>
    <col min="12057" max="12057" width="4.7109375" style="1" bestFit="1" customWidth="1"/>
    <col min="12058" max="12059" width="8.5703125" style="1" bestFit="1" customWidth="1"/>
    <col min="12060" max="12060" width="9.5703125" style="1" bestFit="1" customWidth="1"/>
    <col min="12061" max="12301" width="22.140625" style="1"/>
    <col min="12302" max="12302" width="7.140625" style="1" customWidth="1"/>
    <col min="12303" max="12303" width="11.7109375" style="1" bestFit="1" customWidth="1"/>
    <col min="12304" max="12304" width="20.85546875" style="1" bestFit="1" customWidth="1"/>
    <col min="12305" max="12305" width="19.85546875" style="1" bestFit="1" customWidth="1"/>
    <col min="12306" max="12306" width="15.85546875" style="1" customWidth="1"/>
    <col min="12307" max="12307" width="17.7109375" style="1" bestFit="1" customWidth="1"/>
    <col min="12308" max="12308" width="16.28515625" style="1" bestFit="1" customWidth="1"/>
    <col min="12309" max="12309" width="14.85546875" style="1" customWidth="1"/>
    <col min="12310" max="12310" width="20.5703125" style="1" bestFit="1" customWidth="1"/>
    <col min="12311" max="12311" width="37.140625" style="1" customWidth="1"/>
    <col min="12312" max="12312" width="4.5703125" style="1" bestFit="1" customWidth="1"/>
    <col min="12313" max="12313" width="4.7109375" style="1" bestFit="1" customWidth="1"/>
    <col min="12314" max="12315" width="8.5703125" style="1" bestFit="1" customWidth="1"/>
    <col min="12316" max="12316" width="9.5703125" style="1" bestFit="1" customWidth="1"/>
    <col min="12317" max="12557" width="22.140625" style="1"/>
    <col min="12558" max="12558" width="7.140625" style="1" customWidth="1"/>
    <col min="12559" max="12559" width="11.7109375" style="1" bestFit="1" customWidth="1"/>
    <col min="12560" max="12560" width="20.85546875" style="1" bestFit="1" customWidth="1"/>
    <col min="12561" max="12561" width="19.85546875" style="1" bestFit="1" customWidth="1"/>
    <col min="12562" max="12562" width="15.85546875" style="1" customWidth="1"/>
    <col min="12563" max="12563" width="17.7109375" style="1" bestFit="1" customWidth="1"/>
    <col min="12564" max="12564" width="16.28515625" style="1" bestFit="1" customWidth="1"/>
    <col min="12565" max="12565" width="14.85546875" style="1" customWidth="1"/>
    <col min="12566" max="12566" width="20.5703125" style="1" bestFit="1" customWidth="1"/>
    <col min="12567" max="12567" width="37.140625" style="1" customWidth="1"/>
    <col min="12568" max="12568" width="4.5703125" style="1" bestFit="1" customWidth="1"/>
    <col min="12569" max="12569" width="4.7109375" style="1" bestFit="1" customWidth="1"/>
    <col min="12570" max="12571" width="8.5703125" style="1" bestFit="1" customWidth="1"/>
    <col min="12572" max="12572" width="9.5703125" style="1" bestFit="1" customWidth="1"/>
    <col min="12573" max="12813" width="22.140625" style="1"/>
    <col min="12814" max="12814" width="7.140625" style="1" customWidth="1"/>
    <col min="12815" max="12815" width="11.7109375" style="1" bestFit="1" customWidth="1"/>
    <col min="12816" max="12816" width="20.85546875" style="1" bestFit="1" customWidth="1"/>
    <col min="12817" max="12817" width="19.85546875" style="1" bestFit="1" customWidth="1"/>
    <col min="12818" max="12818" width="15.85546875" style="1" customWidth="1"/>
    <col min="12819" max="12819" width="17.7109375" style="1" bestFit="1" customWidth="1"/>
    <col min="12820" max="12820" width="16.28515625" style="1" bestFit="1" customWidth="1"/>
    <col min="12821" max="12821" width="14.85546875" style="1" customWidth="1"/>
    <col min="12822" max="12822" width="20.5703125" style="1" bestFit="1" customWidth="1"/>
    <col min="12823" max="12823" width="37.140625" style="1" customWidth="1"/>
    <col min="12824" max="12824" width="4.5703125" style="1" bestFit="1" customWidth="1"/>
    <col min="12825" max="12825" width="4.7109375" style="1" bestFit="1" customWidth="1"/>
    <col min="12826" max="12827" width="8.5703125" style="1" bestFit="1" customWidth="1"/>
    <col min="12828" max="12828" width="9.5703125" style="1" bestFit="1" customWidth="1"/>
    <col min="12829" max="13069" width="22.140625" style="1"/>
    <col min="13070" max="13070" width="7.140625" style="1" customWidth="1"/>
    <col min="13071" max="13071" width="11.7109375" style="1" bestFit="1" customWidth="1"/>
    <col min="13072" max="13072" width="20.85546875" style="1" bestFit="1" customWidth="1"/>
    <col min="13073" max="13073" width="19.85546875" style="1" bestFit="1" customWidth="1"/>
    <col min="13074" max="13074" width="15.85546875" style="1" customWidth="1"/>
    <col min="13075" max="13075" width="17.7109375" style="1" bestFit="1" customWidth="1"/>
    <col min="13076" max="13076" width="16.28515625" style="1" bestFit="1" customWidth="1"/>
    <col min="13077" max="13077" width="14.85546875" style="1" customWidth="1"/>
    <col min="13078" max="13078" width="20.5703125" style="1" bestFit="1" customWidth="1"/>
    <col min="13079" max="13079" width="37.140625" style="1" customWidth="1"/>
    <col min="13080" max="13080" width="4.5703125" style="1" bestFit="1" customWidth="1"/>
    <col min="13081" max="13081" width="4.7109375" style="1" bestFit="1" customWidth="1"/>
    <col min="13082" max="13083" width="8.5703125" style="1" bestFit="1" customWidth="1"/>
    <col min="13084" max="13084" width="9.5703125" style="1" bestFit="1" customWidth="1"/>
    <col min="13085" max="13325" width="22.140625" style="1"/>
    <col min="13326" max="13326" width="7.140625" style="1" customWidth="1"/>
    <col min="13327" max="13327" width="11.7109375" style="1" bestFit="1" customWidth="1"/>
    <col min="13328" max="13328" width="20.85546875" style="1" bestFit="1" customWidth="1"/>
    <col min="13329" max="13329" width="19.85546875" style="1" bestFit="1" customWidth="1"/>
    <col min="13330" max="13330" width="15.85546875" style="1" customWidth="1"/>
    <col min="13331" max="13331" width="17.7109375" style="1" bestFit="1" customWidth="1"/>
    <col min="13332" max="13332" width="16.28515625" style="1" bestFit="1" customWidth="1"/>
    <col min="13333" max="13333" width="14.85546875" style="1" customWidth="1"/>
    <col min="13334" max="13334" width="20.5703125" style="1" bestFit="1" customWidth="1"/>
    <col min="13335" max="13335" width="37.140625" style="1" customWidth="1"/>
    <col min="13336" max="13336" width="4.5703125" style="1" bestFit="1" customWidth="1"/>
    <col min="13337" max="13337" width="4.7109375" style="1" bestFit="1" customWidth="1"/>
    <col min="13338" max="13339" width="8.5703125" style="1" bestFit="1" customWidth="1"/>
    <col min="13340" max="13340" width="9.5703125" style="1" bestFit="1" customWidth="1"/>
    <col min="13341" max="13581" width="22.140625" style="1"/>
    <col min="13582" max="13582" width="7.140625" style="1" customWidth="1"/>
    <col min="13583" max="13583" width="11.7109375" style="1" bestFit="1" customWidth="1"/>
    <col min="13584" max="13584" width="20.85546875" style="1" bestFit="1" customWidth="1"/>
    <col min="13585" max="13585" width="19.85546875" style="1" bestFit="1" customWidth="1"/>
    <col min="13586" max="13586" width="15.85546875" style="1" customWidth="1"/>
    <col min="13587" max="13587" width="17.7109375" style="1" bestFit="1" customWidth="1"/>
    <col min="13588" max="13588" width="16.28515625" style="1" bestFit="1" customWidth="1"/>
    <col min="13589" max="13589" width="14.85546875" style="1" customWidth="1"/>
    <col min="13590" max="13590" width="20.5703125" style="1" bestFit="1" customWidth="1"/>
    <col min="13591" max="13591" width="37.140625" style="1" customWidth="1"/>
    <col min="13592" max="13592" width="4.5703125" style="1" bestFit="1" customWidth="1"/>
    <col min="13593" max="13593" width="4.7109375" style="1" bestFit="1" customWidth="1"/>
    <col min="13594" max="13595" width="8.5703125" style="1" bestFit="1" customWidth="1"/>
    <col min="13596" max="13596" width="9.5703125" style="1" bestFit="1" customWidth="1"/>
    <col min="13597" max="13837" width="22.140625" style="1"/>
    <col min="13838" max="13838" width="7.140625" style="1" customWidth="1"/>
    <col min="13839" max="13839" width="11.7109375" style="1" bestFit="1" customWidth="1"/>
    <col min="13840" max="13840" width="20.85546875" style="1" bestFit="1" customWidth="1"/>
    <col min="13841" max="13841" width="19.85546875" style="1" bestFit="1" customWidth="1"/>
    <col min="13842" max="13842" width="15.85546875" style="1" customWidth="1"/>
    <col min="13843" max="13843" width="17.7109375" style="1" bestFit="1" customWidth="1"/>
    <col min="13844" max="13844" width="16.28515625" style="1" bestFit="1" customWidth="1"/>
    <col min="13845" max="13845" width="14.85546875" style="1" customWidth="1"/>
    <col min="13846" max="13846" width="20.5703125" style="1" bestFit="1" customWidth="1"/>
    <col min="13847" max="13847" width="37.140625" style="1" customWidth="1"/>
    <col min="13848" max="13848" width="4.5703125" style="1" bestFit="1" customWidth="1"/>
    <col min="13849" max="13849" width="4.7109375" style="1" bestFit="1" customWidth="1"/>
    <col min="13850" max="13851" width="8.5703125" style="1" bestFit="1" customWidth="1"/>
    <col min="13852" max="13852" width="9.5703125" style="1" bestFit="1" customWidth="1"/>
    <col min="13853" max="14093" width="22.140625" style="1"/>
    <col min="14094" max="14094" width="7.140625" style="1" customWidth="1"/>
    <col min="14095" max="14095" width="11.7109375" style="1" bestFit="1" customWidth="1"/>
    <col min="14096" max="14096" width="20.85546875" style="1" bestFit="1" customWidth="1"/>
    <col min="14097" max="14097" width="19.85546875" style="1" bestFit="1" customWidth="1"/>
    <col min="14098" max="14098" width="15.85546875" style="1" customWidth="1"/>
    <col min="14099" max="14099" width="17.7109375" style="1" bestFit="1" customWidth="1"/>
    <col min="14100" max="14100" width="16.28515625" style="1" bestFit="1" customWidth="1"/>
    <col min="14101" max="14101" width="14.85546875" style="1" customWidth="1"/>
    <col min="14102" max="14102" width="20.5703125" style="1" bestFit="1" customWidth="1"/>
    <col min="14103" max="14103" width="37.140625" style="1" customWidth="1"/>
    <col min="14104" max="14104" width="4.5703125" style="1" bestFit="1" customWidth="1"/>
    <col min="14105" max="14105" width="4.7109375" style="1" bestFit="1" customWidth="1"/>
    <col min="14106" max="14107" width="8.5703125" style="1" bestFit="1" customWidth="1"/>
    <col min="14108" max="14108" width="9.5703125" style="1" bestFit="1" customWidth="1"/>
    <col min="14109" max="14349" width="22.140625" style="1"/>
    <col min="14350" max="14350" width="7.140625" style="1" customWidth="1"/>
    <col min="14351" max="14351" width="11.7109375" style="1" bestFit="1" customWidth="1"/>
    <col min="14352" max="14352" width="20.85546875" style="1" bestFit="1" customWidth="1"/>
    <col min="14353" max="14353" width="19.85546875" style="1" bestFit="1" customWidth="1"/>
    <col min="14354" max="14354" width="15.85546875" style="1" customWidth="1"/>
    <col min="14355" max="14355" width="17.7109375" style="1" bestFit="1" customWidth="1"/>
    <col min="14356" max="14356" width="16.28515625" style="1" bestFit="1" customWidth="1"/>
    <col min="14357" max="14357" width="14.85546875" style="1" customWidth="1"/>
    <col min="14358" max="14358" width="20.5703125" style="1" bestFit="1" customWidth="1"/>
    <col min="14359" max="14359" width="37.140625" style="1" customWidth="1"/>
    <col min="14360" max="14360" width="4.5703125" style="1" bestFit="1" customWidth="1"/>
    <col min="14361" max="14361" width="4.7109375" style="1" bestFit="1" customWidth="1"/>
    <col min="14362" max="14363" width="8.5703125" style="1" bestFit="1" customWidth="1"/>
    <col min="14364" max="14364" width="9.5703125" style="1" bestFit="1" customWidth="1"/>
    <col min="14365" max="14605" width="22.140625" style="1"/>
    <col min="14606" max="14606" width="7.140625" style="1" customWidth="1"/>
    <col min="14607" max="14607" width="11.7109375" style="1" bestFit="1" customWidth="1"/>
    <col min="14608" max="14608" width="20.85546875" style="1" bestFit="1" customWidth="1"/>
    <col min="14609" max="14609" width="19.85546875" style="1" bestFit="1" customWidth="1"/>
    <col min="14610" max="14610" width="15.85546875" style="1" customWidth="1"/>
    <col min="14611" max="14611" width="17.7109375" style="1" bestFit="1" customWidth="1"/>
    <col min="14612" max="14612" width="16.28515625" style="1" bestFit="1" customWidth="1"/>
    <col min="14613" max="14613" width="14.85546875" style="1" customWidth="1"/>
    <col min="14614" max="14614" width="20.5703125" style="1" bestFit="1" customWidth="1"/>
    <col min="14615" max="14615" width="37.140625" style="1" customWidth="1"/>
    <col min="14616" max="14616" width="4.5703125" style="1" bestFit="1" customWidth="1"/>
    <col min="14617" max="14617" width="4.7109375" style="1" bestFit="1" customWidth="1"/>
    <col min="14618" max="14619" width="8.5703125" style="1" bestFit="1" customWidth="1"/>
    <col min="14620" max="14620" width="9.5703125" style="1" bestFit="1" customWidth="1"/>
    <col min="14621" max="14861" width="22.140625" style="1"/>
    <col min="14862" max="14862" width="7.140625" style="1" customWidth="1"/>
    <col min="14863" max="14863" width="11.7109375" style="1" bestFit="1" customWidth="1"/>
    <col min="14864" max="14864" width="20.85546875" style="1" bestFit="1" customWidth="1"/>
    <col min="14865" max="14865" width="19.85546875" style="1" bestFit="1" customWidth="1"/>
    <col min="14866" max="14866" width="15.85546875" style="1" customWidth="1"/>
    <col min="14867" max="14867" width="17.7109375" style="1" bestFit="1" customWidth="1"/>
    <col min="14868" max="14868" width="16.28515625" style="1" bestFit="1" customWidth="1"/>
    <col min="14869" max="14869" width="14.85546875" style="1" customWidth="1"/>
    <col min="14870" max="14870" width="20.5703125" style="1" bestFit="1" customWidth="1"/>
    <col min="14871" max="14871" width="37.140625" style="1" customWidth="1"/>
    <col min="14872" max="14872" width="4.5703125" style="1" bestFit="1" customWidth="1"/>
    <col min="14873" max="14873" width="4.7109375" style="1" bestFit="1" customWidth="1"/>
    <col min="14874" max="14875" width="8.5703125" style="1" bestFit="1" customWidth="1"/>
    <col min="14876" max="14876" width="9.5703125" style="1" bestFit="1" customWidth="1"/>
    <col min="14877" max="15117" width="22.140625" style="1"/>
    <col min="15118" max="15118" width="7.140625" style="1" customWidth="1"/>
    <col min="15119" max="15119" width="11.7109375" style="1" bestFit="1" customWidth="1"/>
    <col min="15120" max="15120" width="20.85546875" style="1" bestFit="1" customWidth="1"/>
    <col min="15121" max="15121" width="19.85546875" style="1" bestFit="1" customWidth="1"/>
    <col min="15122" max="15122" width="15.85546875" style="1" customWidth="1"/>
    <col min="15123" max="15123" width="17.7109375" style="1" bestFit="1" customWidth="1"/>
    <col min="15124" max="15124" width="16.28515625" style="1" bestFit="1" customWidth="1"/>
    <col min="15125" max="15125" width="14.85546875" style="1" customWidth="1"/>
    <col min="15126" max="15126" width="20.5703125" style="1" bestFit="1" customWidth="1"/>
    <col min="15127" max="15127" width="37.140625" style="1" customWidth="1"/>
    <col min="15128" max="15128" width="4.5703125" style="1" bestFit="1" customWidth="1"/>
    <col min="15129" max="15129" width="4.7109375" style="1" bestFit="1" customWidth="1"/>
    <col min="15130" max="15131" width="8.5703125" style="1" bestFit="1" customWidth="1"/>
    <col min="15132" max="15132" width="9.5703125" style="1" bestFit="1" customWidth="1"/>
    <col min="15133" max="15373" width="22.140625" style="1"/>
    <col min="15374" max="15374" width="7.140625" style="1" customWidth="1"/>
    <col min="15375" max="15375" width="11.7109375" style="1" bestFit="1" customWidth="1"/>
    <col min="15376" max="15376" width="20.85546875" style="1" bestFit="1" customWidth="1"/>
    <col min="15377" max="15377" width="19.85546875" style="1" bestFit="1" customWidth="1"/>
    <col min="15378" max="15378" width="15.85546875" style="1" customWidth="1"/>
    <col min="15379" max="15379" width="17.7109375" style="1" bestFit="1" customWidth="1"/>
    <col min="15380" max="15380" width="16.28515625" style="1" bestFit="1" customWidth="1"/>
    <col min="15381" max="15381" width="14.85546875" style="1" customWidth="1"/>
    <col min="15382" max="15382" width="20.5703125" style="1" bestFit="1" customWidth="1"/>
    <col min="15383" max="15383" width="37.140625" style="1" customWidth="1"/>
    <col min="15384" max="15384" width="4.5703125" style="1" bestFit="1" customWidth="1"/>
    <col min="15385" max="15385" width="4.7109375" style="1" bestFit="1" customWidth="1"/>
    <col min="15386" max="15387" width="8.5703125" style="1" bestFit="1" customWidth="1"/>
    <col min="15388" max="15388" width="9.5703125" style="1" bestFit="1" customWidth="1"/>
    <col min="15389" max="15629" width="22.140625" style="1"/>
    <col min="15630" max="15630" width="7.140625" style="1" customWidth="1"/>
    <col min="15631" max="15631" width="11.7109375" style="1" bestFit="1" customWidth="1"/>
    <col min="15632" max="15632" width="20.85546875" style="1" bestFit="1" customWidth="1"/>
    <col min="15633" max="15633" width="19.85546875" style="1" bestFit="1" customWidth="1"/>
    <col min="15634" max="15634" width="15.85546875" style="1" customWidth="1"/>
    <col min="15635" max="15635" width="17.7109375" style="1" bestFit="1" customWidth="1"/>
    <col min="15636" max="15636" width="16.28515625" style="1" bestFit="1" customWidth="1"/>
    <col min="15637" max="15637" width="14.85546875" style="1" customWidth="1"/>
    <col min="15638" max="15638" width="20.5703125" style="1" bestFit="1" customWidth="1"/>
    <col min="15639" max="15639" width="37.140625" style="1" customWidth="1"/>
    <col min="15640" max="15640" width="4.5703125" style="1" bestFit="1" customWidth="1"/>
    <col min="15641" max="15641" width="4.7109375" style="1" bestFit="1" customWidth="1"/>
    <col min="15642" max="15643" width="8.5703125" style="1" bestFit="1" customWidth="1"/>
    <col min="15644" max="15644" width="9.5703125" style="1" bestFit="1" customWidth="1"/>
    <col min="15645" max="15885" width="22.140625" style="1"/>
    <col min="15886" max="15886" width="7.140625" style="1" customWidth="1"/>
    <col min="15887" max="15887" width="11.7109375" style="1" bestFit="1" customWidth="1"/>
    <col min="15888" max="15888" width="20.85546875" style="1" bestFit="1" customWidth="1"/>
    <col min="15889" max="15889" width="19.85546875" style="1" bestFit="1" customWidth="1"/>
    <col min="15890" max="15890" width="15.85546875" style="1" customWidth="1"/>
    <col min="15891" max="15891" width="17.7109375" style="1" bestFit="1" customWidth="1"/>
    <col min="15892" max="15892" width="16.28515625" style="1" bestFit="1" customWidth="1"/>
    <col min="15893" max="15893" width="14.85546875" style="1" customWidth="1"/>
    <col min="15894" max="15894" width="20.5703125" style="1" bestFit="1" customWidth="1"/>
    <col min="15895" max="15895" width="37.140625" style="1" customWidth="1"/>
    <col min="15896" max="15896" width="4.5703125" style="1" bestFit="1" customWidth="1"/>
    <col min="15897" max="15897" width="4.7109375" style="1" bestFit="1" customWidth="1"/>
    <col min="15898" max="15899" width="8.5703125" style="1" bestFit="1" customWidth="1"/>
    <col min="15900" max="15900" width="9.5703125" style="1" bestFit="1" customWidth="1"/>
    <col min="15901" max="16141" width="22.140625" style="1"/>
    <col min="16142" max="16142" width="7.140625" style="1" customWidth="1"/>
    <col min="16143" max="16143" width="11.7109375" style="1" bestFit="1" customWidth="1"/>
    <col min="16144" max="16144" width="20.85546875" style="1" bestFit="1" customWidth="1"/>
    <col min="16145" max="16145" width="19.85546875" style="1" bestFit="1" customWidth="1"/>
    <col min="16146" max="16146" width="15.85546875" style="1" customWidth="1"/>
    <col min="16147" max="16147" width="17.7109375" style="1" bestFit="1" customWidth="1"/>
    <col min="16148" max="16148" width="16.28515625" style="1" bestFit="1" customWidth="1"/>
    <col min="16149" max="16149" width="14.85546875" style="1" customWidth="1"/>
    <col min="16150" max="16150" width="20.5703125" style="1" bestFit="1" customWidth="1"/>
    <col min="16151" max="16151" width="37.140625" style="1" customWidth="1"/>
    <col min="16152" max="16152" width="4.5703125" style="1" bestFit="1" customWidth="1"/>
    <col min="16153" max="16153" width="4.7109375" style="1" bestFit="1" customWidth="1"/>
    <col min="16154" max="16155" width="8.5703125" style="1" bestFit="1" customWidth="1"/>
    <col min="16156" max="16156" width="9.5703125" style="1" bestFit="1" customWidth="1"/>
    <col min="16157" max="16384" width="22.140625" style="1"/>
  </cols>
  <sheetData>
    <row r="1" spans="1:47" x14ac:dyDescent="0.2">
      <c r="C1" s="285" t="s">
        <v>167</v>
      </c>
      <c r="D1" s="286"/>
      <c r="E1" s="286"/>
      <c r="F1" s="286"/>
      <c r="G1" s="286"/>
      <c r="H1" s="286"/>
      <c r="I1" s="286"/>
      <c r="J1" s="286"/>
      <c r="K1" s="15"/>
      <c r="L1" s="300" t="s">
        <v>188</v>
      </c>
      <c r="M1" s="301"/>
      <c r="N1" s="301"/>
      <c r="O1" s="301"/>
      <c r="P1" s="301"/>
      <c r="Q1" s="301"/>
      <c r="R1" s="15"/>
      <c r="S1" s="298" t="s">
        <v>168</v>
      </c>
      <c r="T1" s="299"/>
      <c r="U1" s="299"/>
      <c r="V1" s="299"/>
      <c r="W1" s="299"/>
      <c r="X1" s="299"/>
      <c r="Y1" s="299"/>
      <c r="Z1" s="299"/>
      <c r="AA1" s="299"/>
      <c r="AB1" s="299"/>
      <c r="AC1" s="299"/>
      <c r="AD1" s="299"/>
      <c r="AE1" s="299"/>
      <c r="AF1" s="299"/>
      <c r="AG1" s="15"/>
      <c r="AH1" s="302" t="s">
        <v>185</v>
      </c>
      <c r="AI1" s="303"/>
      <c r="AJ1" s="303"/>
      <c r="AK1" s="303"/>
      <c r="AL1" s="303"/>
      <c r="AM1" s="303"/>
      <c r="AN1" s="303"/>
      <c r="AO1" s="303"/>
      <c r="AP1" s="303"/>
      <c r="AQ1" s="303"/>
      <c r="AR1" s="303"/>
      <c r="AS1" s="304"/>
      <c r="AT1" s="15"/>
      <c r="AU1" s="76"/>
    </row>
    <row r="2" spans="1:47" s="74" customFormat="1" ht="38.25" x14ac:dyDescent="0.2">
      <c r="A2" s="17" t="s">
        <v>79</v>
      </c>
      <c r="B2" s="17" t="s">
        <v>176</v>
      </c>
      <c r="C2" s="17" t="s">
        <v>172</v>
      </c>
      <c r="D2" s="17" t="s">
        <v>175</v>
      </c>
      <c r="E2" s="17" t="s">
        <v>177</v>
      </c>
      <c r="F2" s="18" t="s">
        <v>173</v>
      </c>
      <c r="G2" s="19" t="s">
        <v>178</v>
      </c>
      <c r="H2" s="17" t="s">
        <v>179</v>
      </c>
      <c r="I2" s="17" t="s">
        <v>84</v>
      </c>
      <c r="J2" s="203" t="s">
        <v>85</v>
      </c>
      <c r="K2" s="20"/>
      <c r="L2" s="209" t="s">
        <v>80</v>
      </c>
      <c r="M2" s="209" t="s">
        <v>81</v>
      </c>
      <c r="N2" s="209" t="s">
        <v>182</v>
      </c>
      <c r="O2" s="209" t="s">
        <v>183</v>
      </c>
      <c r="P2" s="209" t="s">
        <v>82</v>
      </c>
      <c r="Q2" s="209" t="s">
        <v>83</v>
      </c>
      <c r="R2" s="15"/>
      <c r="S2" s="131" t="s">
        <v>140</v>
      </c>
      <c r="T2" s="131" t="s">
        <v>141</v>
      </c>
      <c r="U2" s="132" t="s">
        <v>142</v>
      </c>
      <c r="V2" s="132" t="s">
        <v>143</v>
      </c>
      <c r="W2" s="132" t="s">
        <v>144</v>
      </c>
      <c r="X2" s="132" t="s">
        <v>145</v>
      </c>
      <c r="Y2" s="132" t="s">
        <v>146</v>
      </c>
      <c r="Z2" s="132" t="s">
        <v>147</v>
      </c>
      <c r="AA2" s="132" t="s">
        <v>148</v>
      </c>
      <c r="AB2" s="132" t="s">
        <v>149</v>
      </c>
      <c r="AC2" s="132" t="s">
        <v>150</v>
      </c>
      <c r="AD2" s="132" t="s">
        <v>151</v>
      </c>
      <c r="AE2" s="132" t="s">
        <v>82</v>
      </c>
      <c r="AF2" s="132" t="s">
        <v>65</v>
      </c>
      <c r="AG2" s="20"/>
      <c r="AH2" s="209" t="s">
        <v>184</v>
      </c>
      <c r="AI2" s="219" t="s">
        <v>142</v>
      </c>
      <c r="AJ2" s="219" t="s">
        <v>143</v>
      </c>
      <c r="AK2" s="219" t="s">
        <v>144</v>
      </c>
      <c r="AL2" s="219" t="s">
        <v>145</v>
      </c>
      <c r="AM2" s="219" t="s">
        <v>146</v>
      </c>
      <c r="AN2" s="219" t="s">
        <v>147</v>
      </c>
      <c r="AO2" s="219" t="s">
        <v>148</v>
      </c>
      <c r="AP2" s="219" t="s">
        <v>149</v>
      </c>
      <c r="AQ2" s="219" t="s">
        <v>150</v>
      </c>
      <c r="AR2" s="219" t="s">
        <v>151</v>
      </c>
      <c r="AS2" s="219" t="s">
        <v>82</v>
      </c>
      <c r="AT2" s="15"/>
      <c r="AU2" s="127" t="s">
        <v>169</v>
      </c>
    </row>
    <row r="3" spans="1:47" hidden="1" outlineLevel="1" x14ac:dyDescent="0.2">
      <c r="A3" s="88">
        <v>1</v>
      </c>
      <c r="B3" s="32" t="s">
        <v>88</v>
      </c>
      <c r="C3" s="189">
        <f>'[1]Calhoun Revenue'!$B$11</f>
        <v>32000</v>
      </c>
      <c r="D3" s="189">
        <f>'[1]Calhoun Revenue'!$B$3</f>
        <v>38681.19</v>
      </c>
      <c r="E3" s="189">
        <v>0</v>
      </c>
      <c r="F3" s="189">
        <v>0</v>
      </c>
      <c r="G3" s="189">
        <v>0</v>
      </c>
      <c r="H3" s="189">
        <v>0</v>
      </c>
      <c r="I3" s="189">
        <f>SUM(C3:H3)</f>
        <v>70681.19</v>
      </c>
      <c r="J3" s="214"/>
      <c r="K3" s="50"/>
      <c r="L3" s="207"/>
      <c r="M3" s="207"/>
      <c r="N3" s="207"/>
      <c r="O3" s="207"/>
      <c r="P3" s="207"/>
      <c r="Q3" s="207"/>
      <c r="R3" s="20"/>
      <c r="S3" s="164">
        <v>0</v>
      </c>
      <c r="T3" s="164">
        <v>0</v>
      </c>
      <c r="U3" s="164">
        <v>0</v>
      </c>
      <c r="V3" s="164">
        <v>0</v>
      </c>
      <c r="W3" s="164">
        <v>0</v>
      </c>
      <c r="X3" s="164">
        <v>0</v>
      </c>
      <c r="Y3" s="164">
        <v>0</v>
      </c>
      <c r="Z3" s="164">
        <v>0</v>
      </c>
      <c r="AA3" s="164">
        <v>0</v>
      </c>
      <c r="AB3" s="164">
        <v>0</v>
      </c>
      <c r="AC3" s="164">
        <v>0</v>
      </c>
      <c r="AD3" s="164">
        <v>0</v>
      </c>
      <c r="AE3" s="164">
        <v>0</v>
      </c>
      <c r="AF3" s="165">
        <f>SUM(S3:AE3)</f>
        <v>0</v>
      </c>
      <c r="AG3" s="50"/>
      <c r="AH3" s="207"/>
      <c r="AI3" s="207"/>
      <c r="AJ3" s="207"/>
      <c r="AK3" s="207"/>
      <c r="AL3" s="207"/>
      <c r="AM3" s="207"/>
      <c r="AN3" s="207"/>
      <c r="AO3" s="207"/>
      <c r="AP3" s="207"/>
      <c r="AQ3" s="207"/>
      <c r="AR3" s="207"/>
      <c r="AS3" s="207"/>
      <c r="AT3" s="50"/>
      <c r="AU3" s="124"/>
    </row>
    <row r="4" spans="1:47" hidden="1" outlineLevel="1" x14ac:dyDescent="0.2">
      <c r="A4" s="88">
        <v>1</v>
      </c>
      <c r="B4" s="32" t="s">
        <v>89</v>
      </c>
      <c r="C4" s="189">
        <v>643525</v>
      </c>
      <c r="D4" s="189">
        <v>348079.05</v>
      </c>
      <c r="E4" s="189">
        <v>0</v>
      </c>
      <c r="F4" s="189">
        <v>24000</v>
      </c>
      <c r="G4" s="189">
        <v>0</v>
      </c>
      <c r="H4" s="189">
        <v>0</v>
      </c>
      <c r="I4" s="189">
        <f>SUM(C4:H4)</f>
        <v>1015604.05</v>
      </c>
      <c r="J4" s="214"/>
      <c r="K4" s="50"/>
      <c r="L4" s="207"/>
      <c r="M4" s="207"/>
      <c r="N4" s="207"/>
      <c r="O4" s="207"/>
      <c r="P4" s="207"/>
      <c r="Q4" s="207"/>
      <c r="R4" s="50"/>
      <c r="S4" s="166">
        <v>0</v>
      </c>
      <c r="T4" s="166">
        <v>0</v>
      </c>
      <c r="U4" s="166">
        <v>0</v>
      </c>
      <c r="V4" s="166">
        <v>0</v>
      </c>
      <c r="W4" s="166">
        <v>0</v>
      </c>
      <c r="X4" s="166">
        <v>0</v>
      </c>
      <c r="Y4" s="166">
        <v>0</v>
      </c>
      <c r="Z4" s="166">
        <v>0</v>
      </c>
      <c r="AA4" s="166">
        <v>0</v>
      </c>
      <c r="AB4" s="166">
        <v>0</v>
      </c>
      <c r="AC4" s="166">
        <v>0</v>
      </c>
      <c r="AD4" s="166">
        <v>0</v>
      </c>
      <c r="AE4" s="166">
        <v>0</v>
      </c>
      <c r="AF4" s="167">
        <f>SUM(S4:AE4)</f>
        <v>0</v>
      </c>
      <c r="AG4" s="50"/>
      <c r="AH4" s="207"/>
      <c r="AI4" s="207"/>
      <c r="AJ4" s="207"/>
      <c r="AK4" s="207"/>
      <c r="AL4" s="207"/>
      <c r="AM4" s="207"/>
      <c r="AN4" s="207"/>
      <c r="AO4" s="207"/>
      <c r="AP4" s="207"/>
      <c r="AQ4" s="207"/>
      <c r="AR4" s="207"/>
      <c r="AS4" s="207"/>
      <c r="AT4" s="50"/>
      <c r="AU4" s="98"/>
    </row>
    <row r="5" spans="1:47" ht="13.5" hidden="1" outlineLevel="1" thickBot="1" x14ac:dyDescent="0.25">
      <c r="A5" s="88">
        <v>1</v>
      </c>
      <c r="B5" s="32" t="s">
        <v>90</v>
      </c>
      <c r="C5" s="190">
        <v>610392</v>
      </c>
      <c r="D5" s="190">
        <v>235785.28999999998</v>
      </c>
      <c r="E5" s="190">
        <v>0</v>
      </c>
      <c r="F5" s="190">
        <v>0</v>
      </c>
      <c r="G5" s="190">
        <v>0</v>
      </c>
      <c r="H5" s="190">
        <v>0</v>
      </c>
      <c r="I5" s="190">
        <f>SUM(C5:H5)</f>
        <v>846177.29</v>
      </c>
      <c r="J5" s="214"/>
      <c r="K5" s="50"/>
      <c r="L5" s="207"/>
      <c r="M5" s="207"/>
      <c r="N5" s="207"/>
      <c r="O5" s="207"/>
      <c r="P5" s="207"/>
      <c r="Q5" s="207"/>
      <c r="R5" s="50"/>
      <c r="S5" s="168">
        <v>0</v>
      </c>
      <c r="T5" s="168">
        <v>0</v>
      </c>
      <c r="U5" s="168">
        <v>0</v>
      </c>
      <c r="V5" s="168">
        <v>0</v>
      </c>
      <c r="W5" s="168">
        <v>0</v>
      </c>
      <c r="X5" s="168">
        <v>0</v>
      </c>
      <c r="Y5" s="168">
        <v>0</v>
      </c>
      <c r="Z5" s="168">
        <v>0</v>
      </c>
      <c r="AA5" s="168">
        <v>0</v>
      </c>
      <c r="AB5" s="168">
        <v>0</v>
      </c>
      <c r="AC5" s="168">
        <v>0</v>
      </c>
      <c r="AD5" s="168">
        <v>0</v>
      </c>
      <c r="AE5" s="168">
        <v>0</v>
      </c>
      <c r="AF5" s="169">
        <f>SUM(S5:AE5)</f>
        <v>0</v>
      </c>
      <c r="AG5" s="50"/>
      <c r="AH5" s="207"/>
      <c r="AI5" s="207"/>
      <c r="AJ5" s="207"/>
      <c r="AK5" s="207"/>
      <c r="AL5" s="207"/>
      <c r="AM5" s="207"/>
      <c r="AN5" s="207"/>
      <c r="AO5" s="207"/>
      <c r="AP5" s="207"/>
      <c r="AQ5" s="207"/>
      <c r="AR5" s="207"/>
      <c r="AS5" s="207"/>
      <c r="AT5" s="50"/>
      <c r="AU5" s="103"/>
    </row>
    <row r="6" spans="1:47" collapsed="1" x14ac:dyDescent="0.2">
      <c r="A6" s="40">
        <v>1</v>
      </c>
      <c r="B6" s="45" t="s">
        <v>4</v>
      </c>
      <c r="C6" s="191">
        <f t="shared" ref="C6:H6" si="0">SUM(C3:C5)</f>
        <v>1285917</v>
      </c>
      <c r="D6" s="191">
        <f t="shared" si="0"/>
        <v>622545.53</v>
      </c>
      <c r="E6" s="189">
        <f t="shared" si="0"/>
        <v>0</v>
      </c>
      <c r="F6" s="191">
        <f t="shared" si="0"/>
        <v>24000</v>
      </c>
      <c r="G6" s="189">
        <f t="shared" si="0"/>
        <v>0</v>
      </c>
      <c r="H6" s="189">
        <f t="shared" si="0"/>
        <v>0</v>
      </c>
      <c r="I6" s="191">
        <f>SUM(C6:H6)</f>
        <v>1932462.53</v>
      </c>
      <c r="J6" s="34"/>
      <c r="K6" s="89"/>
      <c r="L6" s="207">
        <f>C6/I6</f>
        <v>0.66542920239700587</v>
      </c>
      <c r="M6" s="207">
        <f>D6/I6</f>
        <v>0.32215141061493185</v>
      </c>
      <c r="N6" s="207">
        <f>E6/I6</f>
        <v>0</v>
      </c>
      <c r="O6" s="207">
        <f>F6/I6</f>
        <v>1.2419386988062324E-2</v>
      </c>
      <c r="P6" s="207">
        <f>G6/I6</f>
        <v>0</v>
      </c>
      <c r="Q6" s="207">
        <f>H6/I6</f>
        <v>0</v>
      </c>
      <c r="R6" s="50"/>
      <c r="S6" s="170">
        <v>1196867</v>
      </c>
      <c r="T6" s="170">
        <f>76623+151712+119035+5235</f>
        <v>352605</v>
      </c>
      <c r="U6" s="171">
        <v>6856</v>
      </c>
      <c r="V6" s="171">
        <v>5973</v>
      </c>
      <c r="W6" s="171">
        <v>4693</v>
      </c>
      <c r="X6" s="171">
        <v>53880</v>
      </c>
      <c r="Y6" s="171">
        <v>5702</v>
      </c>
      <c r="Z6" s="171">
        <v>27042</v>
      </c>
      <c r="AA6" s="171">
        <v>530</v>
      </c>
      <c r="AB6" s="171">
        <f>57772-27040.71</f>
        <v>30731.29</v>
      </c>
      <c r="AC6" s="171">
        <v>21054</v>
      </c>
      <c r="AD6" s="171">
        <v>20497</v>
      </c>
      <c r="AE6" s="171">
        <f>1940+16381+5280</f>
        <v>23601</v>
      </c>
      <c r="AF6" s="172">
        <f>SUM(S6:AE6)</f>
        <v>1750031.29</v>
      </c>
      <c r="AG6" s="89"/>
      <c r="AH6" s="207">
        <f>(S6+T6)/AF6</f>
        <v>0.88539674053485062</v>
      </c>
      <c r="AI6" s="207">
        <f>U6/AF6</f>
        <v>3.9176442382353061E-3</v>
      </c>
      <c r="AJ6" s="207">
        <f>V6/AF6</f>
        <v>3.4130818312397143E-3</v>
      </c>
      <c r="AK6" s="207">
        <f>W6/AF6</f>
        <v>2.6816663375201708E-3</v>
      </c>
      <c r="AL6" s="207">
        <f>X6/AF6</f>
        <v>3.0788020938757044E-2</v>
      </c>
      <c r="AM6" s="207">
        <f>Y6/AF6</f>
        <v>3.2582274571787799E-3</v>
      </c>
      <c r="AN6" s="207">
        <f>Z6/AF6</f>
        <v>1.5452295141534298E-2</v>
      </c>
      <c r="AO6" s="207">
        <f>AA6/AF6</f>
        <v>3.0285172786824856E-4</v>
      </c>
      <c r="AP6" s="207">
        <f>AB6/AF6</f>
        <v>1.7560423162490998E-2</v>
      </c>
      <c r="AQ6" s="207">
        <f>AC6/AF6</f>
        <v>1.2030642034977557E-2</v>
      </c>
      <c r="AR6" s="207">
        <f>AD6/AF6</f>
        <v>1.1712362011538663E-2</v>
      </c>
      <c r="AS6" s="207">
        <f>AE6/AF6</f>
        <v>1.3486044583808556E-2</v>
      </c>
      <c r="AT6" s="89"/>
      <c r="AU6" s="124">
        <f>I6-AF6</f>
        <v>182431.24</v>
      </c>
    </row>
    <row r="7" spans="1:47" ht="13.5" thickBot="1" x14ac:dyDescent="0.25">
      <c r="A7" s="90"/>
      <c r="B7" s="72"/>
      <c r="C7" s="30"/>
      <c r="D7" s="30"/>
      <c r="E7" s="30"/>
      <c r="F7" s="30"/>
      <c r="G7" s="30"/>
      <c r="H7" s="30"/>
      <c r="I7" s="30"/>
      <c r="J7" s="30"/>
      <c r="K7" s="52"/>
      <c r="L7" s="218"/>
      <c r="M7" s="218"/>
      <c r="N7" s="218"/>
      <c r="O7" s="218"/>
      <c r="P7" s="218"/>
      <c r="Q7" s="218"/>
      <c r="R7" s="89"/>
      <c r="S7" s="116"/>
      <c r="T7" s="116"/>
      <c r="U7" s="116"/>
      <c r="V7" s="116"/>
      <c r="W7" s="116"/>
      <c r="X7" s="116"/>
      <c r="Y7" s="116"/>
      <c r="Z7" s="116"/>
      <c r="AA7" s="116"/>
      <c r="AB7" s="116"/>
      <c r="AC7" s="116"/>
      <c r="AD7" s="116"/>
      <c r="AE7" s="116"/>
      <c r="AF7" s="116"/>
      <c r="AG7" s="52"/>
      <c r="AH7" s="116"/>
      <c r="AI7" s="116"/>
      <c r="AJ7" s="116"/>
      <c r="AK7" s="116"/>
      <c r="AL7" s="116"/>
      <c r="AM7" s="116"/>
      <c r="AN7" s="116"/>
      <c r="AO7" s="116"/>
      <c r="AP7" s="116"/>
      <c r="AQ7" s="116"/>
      <c r="AR7" s="116"/>
      <c r="AS7" s="116"/>
      <c r="AT7" s="52"/>
      <c r="AU7" s="105"/>
    </row>
    <row r="8" spans="1:47" hidden="1" outlineLevel="1" x14ac:dyDescent="0.2">
      <c r="A8" s="88">
        <v>2</v>
      </c>
      <c r="B8" s="32" t="s">
        <v>91</v>
      </c>
      <c r="C8" s="189">
        <f>'[2]Aiken Revenue'!$B$11</f>
        <v>449701</v>
      </c>
      <c r="D8" s="189">
        <f>'[2]Aiken Revenue'!$B$3</f>
        <v>408092.74000000005</v>
      </c>
      <c r="E8" s="189">
        <v>0</v>
      </c>
      <c r="F8" s="189">
        <f>'[2]Aiken Revenue'!$B$13</f>
        <v>34000</v>
      </c>
      <c r="G8" s="189">
        <v>0</v>
      </c>
      <c r="H8" s="189">
        <v>0</v>
      </c>
      <c r="I8" s="189">
        <f>SUM(C8:H8)</f>
        <v>891793.74</v>
      </c>
      <c r="J8" s="214"/>
      <c r="K8" s="50"/>
      <c r="L8" s="207"/>
      <c r="M8" s="207"/>
      <c r="N8" s="207"/>
      <c r="O8" s="207"/>
      <c r="P8" s="207"/>
      <c r="Q8" s="207"/>
      <c r="R8" s="52"/>
      <c r="S8" s="166">
        <v>0</v>
      </c>
      <c r="T8" s="166">
        <v>0</v>
      </c>
      <c r="U8" s="166">
        <v>0</v>
      </c>
      <c r="V8" s="166">
        <v>0</v>
      </c>
      <c r="W8" s="166">
        <v>0</v>
      </c>
      <c r="X8" s="166">
        <v>0</v>
      </c>
      <c r="Y8" s="166">
        <v>0</v>
      </c>
      <c r="Z8" s="166">
        <v>0</v>
      </c>
      <c r="AA8" s="166">
        <v>0</v>
      </c>
      <c r="AB8" s="166">
        <v>0</v>
      </c>
      <c r="AC8" s="166">
        <v>0</v>
      </c>
      <c r="AD8" s="166">
        <v>0</v>
      </c>
      <c r="AE8" s="166">
        <v>0</v>
      </c>
      <c r="AF8" s="167">
        <f>SUM(S8:AE8)</f>
        <v>0</v>
      </c>
      <c r="AG8" s="50"/>
      <c r="AH8" s="207"/>
      <c r="AI8" s="207"/>
      <c r="AJ8" s="207"/>
      <c r="AK8" s="207"/>
      <c r="AL8" s="207"/>
      <c r="AM8" s="207"/>
      <c r="AN8" s="207"/>
      <c r="AO8" s="207"/>
      <c r="AP8" s="207"/>
      <c r="AQ8" s="207"/>
      <c r="AR8" s="207"/>
      <c r="AS8" s="207"/>
      <c r="AT8" s="50"/>
      <c r="AU8" s="98"/>
    </row>
    <row r="9" spans="1:47" hidden="1" outlineLevel="1" x14ac:dyDescent="0.2">
      <c r="A9" s="88">
        <v>2</v>
      </c>
      <c r="B9" s="32" t="s">
        <v>92</v>
      </c>
      <c r="C9" s="189">
        <f>'[2]Bamberg Revenue '!$B$11</f>
        <v>32500</v>
      </c>
      <c r="D9" s="189">
        <f>'[2]Bamberg Revenue '!$B$3</f>
        <v>40750.9</v>
      </c>
      <c r="E9" s="189">
        <v>0</v>
      </c>
      <c r="F9" s="189">
        <f>'[2]Bamberg Revenue '!$B$13</f>
        <v>2000</v>
      </c>
      <c r="G9" s="189">
        <v>0</v>
      </c>
      <c r="H9" s="189">
        <v>0</v>
      </c>
      <c r="I9" s="189">
        <f>SUM(C9:H9)</f>
        <v>75250.899999999994</v>
      </c>
      <c r="J9" s="214"/>
      <c r="K9" s="50"/>
      <c r="L9" s="207"/>
      <c r="M9" s="207"/>
      <c r="N9" s="207"/>
      <c r="O9" s="207"/>
      <c r="P9" s="207"/>
      <c r="Q9" s="207"/>
      <c r="R9" s="50"/>
      <c r="S9" s="166">
        <v>0</v>
      </c>
      <c r="T9" s="166">
        <v>0</v>
      </c>
      <c r="U9" s="166">
        <v>0</v>
      </c>
      <c r="V9" s="166">
        <v>0</v>
      </c>
      <c r="W9" s="166">
        <v>0</v>
      </c>
      <c r="X9" s="166">
        <v>0</v>
      </c>
      <c r="Y9" s="166">
        <v>0</v>
      </c>
      <c r="Z9" s="166">
        <v>0</v>
      </c>
      <c r="AA9" s="166">
        <v>0</v>
      </c>
      <c r="AB9" s="166">
        <v>0</v>
      </c>
      <c r="AC9" s="166">
        <v>0</v>
      </c>
      <c r="AD9" s="166">
        <v>0</v>
      </c>
      <c r="AE9" s="166">
        <v>0</v>
      </c>
      <c r="AF9" s="167">
        <f>SUM(S9:AE9)</f>
        <v>0</v>
      </c>
      <c r="AG9" s="50"/>
      <c r="AH9" s="207"/>
      <c r="AI9" s="207"/>
      <c r="AJ9" s="207"/>
      <c r="AK9" s="207"/>
      <c r="AL9" s="207"/>
      <c r="AM9" s="207"/>
      <c r="AN9" s="207"/>
      <c r="AO9" s="207"/>
      <c r="AP9" s="207"/>
      <c r="AQ9" s="207"/>
      <c r="AR9" s="207"/>
      <c r="AS9" s="207"/>
      <c r="AT9" s="50"/>
      <c r="AU9" s="98"/>
    </row>
    <row r="10" spans="1:47" ht="13.5" hidden="1" outlineLevel="1" thickBot="1" x14ac:dyDescent="0.25">
      <c r="A10" s="88">
        <v>2</v>
      </c>
      <c r="B10" s="32" t="s">
        <v>93</v>
      </c>
      <c r="C10" s="190">
        <f>'[2]Barnwell Revenue '!$B$11</f>
        <v>75000</v>
      </c>
      <c r="D10" s="190">
        <f>'[2]Barnwell Revenue '!$B$3</f>
        <v>57661.009999999995</v>
      </c>
      <c r="E10" s="190">
        <v>0</v>
      </c>
      <c r="F10" s="190">
        <f>'[2]Barnwell Revenue '!$B$13</f>
        <v>2000</v>
      </c>
      <c r="G10" s="190">
        <v>0</v>
      </c>
      <c r="H10" s="190">
        <v>0</v>
      </c>
      <c r="I10" s="190">
        <f>SUM(C10:H10)</f>
        <v>134661.01</v>
      </c>
      <c r="J10" s="214"/>
      <c r="K10" s="50"/>
      <c r="L10" s="207"/>
      <c r="M10" s="207"/>
      <c r="N10" s="207"/>
      <c r="O10" s="207"/>
      <c r="P10" s="207"/>
      <c r="Q10" s="207"/>
      <c r="R10" s="50"/>
      <c r="S10" s="168">
        <v>0</v>
      </c>
      <c r="T10" s="168">
        <v>0</v>
      </c>
      <c r="U10" s="168">
        <v>0</v>
      </c>
      <c r="V10" s="168">
        <v>0</v>
      </c>
      <c r="W10" s="168">
        <v>0</v>
      </c>
      <c r="X10" s="168">
        <v>0</v>
      </c>
      <c r="Y10" s="168">
        <v>0</v>
      </c>
      <c r="Z10" s="168">
        <v>0</v>
      </c>
      <c r="AA10" s="168">
        <v>0</v>
      </c>
      <c r="AB10" s="168">
        <v>0</v>
      </c>
      <c r="AC10" s="168">
        <v>0</v>
      </c>
      <c r="AD10" s="168">
        <v>0</v>
      </c>
      <c r="AE10" s="168">
        <v>0</v>
      </c>
      <c r="AF10" s="169">
        <f>SUM(S10:AE10)</f>
        <v>0</v>
      </c>
      <c r="AG10" s="50"/>
      <c r="AH10" s="207"/>
      <c r="AI10" s="207"/>
      <c r="AJ10" s="207"/>
      <c r="AK10" s="207"/>
      <c r="AL10" s="207"/>
      <c r="AM10" s="207"/>
      <c r="AN10" s="207"/>
      <c r="AO10" s="207"/>
      <c r="AP10" s="207"/>
      <c r="AQ10" s="207"/>
      <c r="AR10" s="207"/>
      <c r="AS10" s="207"/>
      <c r="AT10" s="50"/>
      <c r="AU10" s="103"/>
    </row>
    <row r="11" spans="1:47" ht="13.5" collapsed="1" thickTop="1" x14ac:dyDescent="0.2">
      <c r="A11" s="40">
        <v>2</v>
      </c>
      <c r="B11" s="45" t="s">
        <v>4</v>
      </c>
      <c r="C11" s="191">
        <f t="shared" ref="C11:H11" si="1">SUM(C8:C10)</f>
        <v>557201</v>
      </c>
      <c r="D11" s="191">
        <f t="shared" si="1"/>
        <v>506504.65000000008</v>
      </c>
      <c r="E11" s="191">
        <f t="shared" si="1"/>
        <v>0</v>
      </c>
      <c r="F11" s="191">
        <f t="shared" si="1"/>
        <v>38000</v>
      </c>
      <c r="G11" s="191">
        <f t="shared" si="1"/>
        <v>0</v>
      </c>
      <c r="H11" s="191">
        <f t="shared" si="1"/>
        <v>0</v>
      </c>
      <c r="I11" s="191">
        <f>SUM(C11:H11)</f>
        <v>1101705.6500000001</v>
      </c>
      <c r="J11" s="34"/>
      <c r="K11" s="89"/>
      <c r="L11" s="207">
        <f>C11/I11</f>
        <v>0.50576213347004251</v>
      </c>
      <c r="M11" s="207">
        <f>D11/I11</f>
        <v>0.45974589492211465</v>
      </c>
      <c r="N11" s="207">
        <f>E11/I11</f>
        <v>0</v>
      </c>
      <c r="O11" s="207">
        <f>F11/I11</f>
        <v>3.44919716078428E-2</v>
      </c>
      <c r="P11" s="207">
        <f>G11/I11</f>
        <v>0</v>
      </c>
      <c r="Q11" s="207">
        <f>H11/I11</f>
        <v>0</v>
      </c>
      <c r="R11" s="50"/>
      <c r="S11" s="171">
        <f>596974.3+339861.48</f>
        <v>936835.78</v>
      </c>
      <c r="T11" s="171">
        <f>47406.44+65661.18+70683.55</f>
        <v>183751.16999999998</v>
      </c>
      <c r="U11" s="171">
        <v>16397.5</v>
      </c>
      <c r="V11" s="171">
        <v>6000</v>
      </c>
      <c r="W11" s="171">
        <v>509.03</v>
      </c>
      <c r="X11" s="171">
        <v>62800</v>
      </c>
      <c r="Y11" s="171">
        <v>0</v>
      </c>
      <c r="Z11" s="171">
        <v>3183.95</v>
      </c>
      <c r="AA11" s="171">
        <v>0</v>
      </c>
      <c r="AB11" s="171">
        <f>23405.69</f>
        <v>23405.69</v>
      </c>
      <c r="AC11" s="171">
        <v>2781.96</v>
      </c>
      <c r="AD11" s="171">
        <v>20178.330000000002</v>
      </c>
      <c r="AE11" s="171">
        <f>7114.67+2368.62+4670.65+5260+7037.81+78245</f>
        <v>104696.75</v>
      </c>
      <c r="AF11" s="173">
        <f>SUM(S11:AE11)</f>
        <v>1360540.16</v>
      </c>
      <c r="AG11" s="89"/>
      <c r="AH11" s="207">
        <f>(S11+T11)/AF11</f>
        <v>0.82363386465563793</v>
      </c>
      <c r="AI11" s="207">
        <f>U11/AF11</f>
        <v>1.2052198444476641E-2</v>
      </c>
      <c r="AJ11" s="207">
        <f>V11/AF11</f>
        <v>4.4100131524232259E-3</v>
      </c>
      <c r="AK11" s="207">
        <f>W11/AF11</f>
        <v>3.741381658296658E-4</v>
      </c>
      <c r="AL11" s="207">
        <f>X11/AF11</f>
        <v>4.6158137662029766E-2</v>
      </c>
      <c r="AM11" s="207">
        <f>Y11/AF11</f>
        <v>0</v>
      </c>
      <c r="AN11" s="207">
        <f>Z11/AF11</f>
        <v>2.3402102294429882E-3</v>
      </c>
      <c r="AO11" s="207">
        <f>AA11/AF11</f>
        <v>0</v>
      </c>
      <c r="AP11" s="207">
        <f>AB11/AF11</f>
        <v>1.7203233456923463E-2</v>
      </c>
      <c r="AQ11" s="207">
        <f>AC11/AF11</f>
        <v>2.0447466982525531E-3</v>
      </c>
      <c r="AR11" s="207">
        <f>AD11/AF11</f>
        <v>1.4831116782322695E-2</v>
      </c>
      <c r="AS11" s="207">
        <f>AE11/AF11</f>
        <v>7.6952340752661066E-2</v>
      </c>
      <c r="AT11" s="89"/>
      <c r="AU11" s="124">
        <f>I11-AF11</f>
        <v>-258834.50999999978</v>
      </c>
    </row>
    <row r="12" spans="1:47" s="5" customFormat="1" x14ac:dyDescent="0.2">
      <c r="A12" s="91"/>
      <c r="B12" s="26"/>
      <c r="C12" s="30"/>
      <c r="D12" s="30"/>
      <c r="E12" s="30"/>
      <c r="F12" s="30"/>
      <c r="G12" s="30"/>
      <c r="H12" s="30"/>
      <c r="I12" s="30"/>
      <c r="J12" s="30"/>
      <c r="K12" s="52"/>
      <c r="L12" s="218"/>
      <c r="M12" s="218"/>
      <c r="N12" s="218"/>
      <c r="O12" s="218"/>
      <c r="P12" s="218"/>
      <c r="Q12" s="218"/>
      <c r="R12" s="89"/>
      <c r="S12" s="116"/>
      <c r="T12" s="116"/>
      <c r="U12" s="116"/>
      <c r="V12" s="116"/>
      <c r="W12" s="116"/>
      <c r="X12" s="116"/>
      <c r="Y12" s="116"/>
      <c r="Z12" s="116"/>
      <c r="AA12" s="116"/>
      <c r="AB12" s="116"/>
      <c r="AC12" s="116"/>
      <c r="AD12" s="116"/>
      <c r="AE12" s="116"/>
      <c r="AF12" s="116"/>
      <c r="AG12" s="52"/>
      <c r="AH12" s="116"/>
      <c r="AI12" s="116"/>
      <c r="AJ12" s="116"/>
      <c r="AK12" s="116"/>
      <c r="AL12" s="116"/>
      <c r="AM12" s="116"/>
      <c r="AN12" s="116"/>
      <c r="AO12" s="116"/>
      <c r="AP12" s="116"/>
      <c r="AQ12" s="116"/>
      <c r="AR12" s="116"/>
      <c r="AS12" s="116"/>
      <c r="AT12" s="52"/>
      <c r="AU12" s="105"/>
    </row>
    <row r="13" spans="1:47" hidden="1" outlineLevel="1" x14ac:dyDescent="0.2">
      <c r="A13" s="88">
        <v>3</v>
      </c>
      <c r="B13" s="32" t="s">
        <v>94</v>
      </c>
      <c r="C13" s="189">
        <f>'[3]Clarendon Revenue'!$B$11</f>
        <v>75000</v>
      </c>
      <c r="D13" s="189">
        <f>'[3]Clarendon Revenue'!$B$3</f>
        <v>89141.159999999989</v>
      </c>
      <c r="E13" s="189">
        <v>0</v>
      </c>
      <c r="F13" s="189">
        <v>0</v>
      </c>
      <c r="G13" s="189">
        <v>0</v>
      </c>
      <c r="H13" s="189">
        <v>0</v>
      </c>
      <c r="I13" s="189">
        <f>SUM(C13:H13)</f>
        <v>164141.15999999997</v>
      </c>
      <c r="J13" s="214"/>
      <c r="K13" s="50"/>
      <c r="L13" s="207"/>
      <c r="M13" s="207"/>
      <c r="N13" s="207"/>
      <c r="O13" s="207"/>
      <c r="P13" s="207"/>
      <c r="Q13" s="207"/>
      <c r="R13" s="52"/>
      <c r="S13" s="166">
        <v>0</v>
      </c>
      <c r="T13" s="166">
        <v>0</v>
      </c>
      <c r="U13" s="166">
        <v>0</v>
      </c>
      <c r="V13" s="166">
        <v>0</v>
      </c>
      <c r="W13" s="166">
        <v>0</v>
      </c>
      <c r="X13" s="166">
        <v>0</v>
      </c>
      <c r="Y13" s="166">
        <v>0</v>
      </c>
      <c r="Z13" s="166">
        <v>0</v>
      </c>
      <c r="AA13" s="166">
        <v>0</v>
      </c>
      <c r="AB13" s="166">
        <v>0</v>
      </c>
      <c r="AC13" s="166">
        <v>0</v>
      </c>
      <c r="AD13" s="166">
        <v>0</v>
      </c>
      <c r="AE13" s="166">
        <v>0</v>
      </c>
      <c r="AF13" s="167">
        <f>SUM(S13:AE13)</f>
        <v>0</v>
      </c>
      <c r="AG13" s="50"/>
      <c r="AH13" s="207"/>
      <c r="AI13" s="207"/>
      <c r="AJ13" s="207"/>
      <c r="AK13" s="207"/>
      <c r="AL13" s="207"/>
      <c r="AM13" s="207"/>
      <c r="AN13" s="207"/>
      <c r="AO13" s="207"/>
      <c r="AP13" s="207"/>
      <c r="AQ13" s="207"/>
      <c r="AR13" s="207"/>
      <c r="AS13" s="207"/>
      <c r="AT13" s="50"/>
      <c r="AU13" s="98"/>
    </row>
    <row r="14" spans="1:47" hidden="1" outlineLevel="1" x14ac:dyDescent="0.2">
      <c r="A14" s="88">
        <v>3</v>
      </c>
      <c r="B14" s="32" t="s">
        <v>95</v>
      </c>
      <c r="C14" s="189">
        <f>'[3]Lee Revenue '!$B$11</f>
        <v>40000</v>
      </c>
      <c r="D14" s="189">
        <f>'[3]Lee Revenue '!$B$3</f>
        <v>48991.83</v>
      </c>
      <c r="E14" s="189">
        <v>0</v>
      </c>
      <c r="F14" s="189">
        <v>0</v>
      </c>
      <c r="G14" s="189">
        <v>0</v>
      </c>
      <c r="H14" s="189">
        <v>0</v>
      </c>
      <c r="I14" s="189">
        <f>SUM(C14:H14)</f>
        <v>88991.83</v>
      </c>
      <c r="J14" s="214"/>
      <c r="K14" s="50"/>
      <c r="L14" s="207"/>
      <c r="M14" s="207"/>
      <c r="N14" s="207"/>
      <c r="O14" s="207"/>
      <c r="P14" s="207"/>
      <c r="Q14" s="207"/>
      <c r="R14" s="50"/>
      <c r="S14" s="166">
        <v>0</v>
      </c>
      <c r="T14" s="166">
        <v>0</v>
      </c>
      <c r="U14" s="166">
        <v>0</v>
      </c>
      <c r="V14" s="166">
        <v>0</v>
      </c>
      <c r="W14" s="166">
        <v>0</v>
      </c>
      <c r="X14" s="166">
        <v>0</v>
      </c>
      <c r="Y14" s="166">
        <v>0</v>
      </c>
      <c r="Z14" s="166">
        <v>0</v>
      </c>
      <c r="AA14" s="166">
        <v>0</v>
      </c>
      <c r="AB14" s="166">
        <v>0</v>
      </c>
      <c r="AC14" s="166">
        <v>0</v>
      </c>
      <c r="AD14" s="166">
        <v>0</v>
      </c>
      <c r="AE14" s="166">
        <v>0</v>
      </c>
      <c r="AF14" s="167">
        <f>SUM(S14:AE14)</f>
        <v>0</v>
      </c>
      <c r="AG14" s="50"/>
      <c r="AH14" s="207"/>
      <c r="AI14" s="207"/>
      <c r="AJ14" s="207"/>
      <c r="AK14" s="207"/>
      <c r="AL14" s="207"/>
      <c r="AM14" s="207"/>
      <c r="AN14" s="207"/>
      <c r="AO14" s="207"/>
      <c r="AP14" s="207"/>
      <c r="AQ14" s="207"/>
      <c r="AR14" s="207"/>
      <c r="AS14" s="207"/>
      <c r="AT14" s="50"/>
      <c r="AU14" s="98"/>
    </row>
    <row r="15" spans="1:47" hidden="1" outlineLevel="1" x14ac:dyDescent="0.2">
      <c r="A15" s="88">
        <v>3</v>
      </c>
      <c r="B15" s="32" t="s">
        <v>96</v>
      </c>
      <c r="C15" s="189">
        <f>'[3]Sumter Revenue '!$B$11</f>
        <v>225000</v>
      </c>
      <c r="D15" s="189">
        <f>'[3]Sumter Revenue '!$B$3</f>
        <v>273905.64999999997</v>
      </c>
      <c r="E15" s="189">
        <v>0</v>
      </c>
      <c r="F15" s="189">
        <v>0</v>
      </c>
      <c r="G15" s="189">
        <v>0</v>
      </c>
      <c r="H15" s="189">
        <v>0</v>
      </c>
      <c r="I15" s="189">
        <f>SUM(C15:H15)</f>
        <v>498905.64999999997</v>
      </c>
      <c r="J15" s="214"/>
      <c r="K15" s="50"/>
      <c r="L15" s="207"/>
      <c r="M15" s="207"/>
      <c r="N15" s="207"/>
      <c r="O15" s="207"/>
      <c r="P15" s="207"/>
      <c r="Q15" s="207"/>
      <c r="R15" s="50"/>
      <c r="S15" s="166">
        <v>0</v>
      </c>
      <c r="T15" s="166">
        <v>0</v>
      </c>
      <c r="U15" s="166">
        <v>0</v>
      </c>
      <c r="V15" s="166">
        <v>0</v>
      </c>
      <c r="W15" s="166">
        <v>0</v>
      </c>
      <c r="X15" s="166">
        <v>0</v>
      </c>
      <c r="Y15" s="166">
        <v>0</v>
      </c>
      <c r="Z15" s="166">
        <v>0</v>
      </c>
      <c r="AA15" s="166">
        <v>0</v>
      </c>
      <c r="AB15" s="166">
        <v>0</v>
      </c>
      <c r="AC15" s="166">
        <v>0</v>
      </c>
      <c r="AD15" s="166">
        <v>0</v>
      </c>
      <c r="AE15" s="166">
        <v>0</v>
      </c>
      <c r="AF15" s="167">
        <f>SUM(S15:AE15)</f>
        <v>0</v>
      </c>
      <c r="AG15" s="50"/>
      <c r="AH15" s="207"/>
      <c r="AI15" s="207"/>
      <c r="AJ15" s="207"/>
      <c r="AK15" s="207"/>
      <c r="AL15" s="207"/>
      <c r="AM15" s="207"/>
      <c r="AN15" s="207"/>
      <c r="AO15" s="207"/>
      <c r="AP15" s="207"/>
      <c r="AQ15" s="207"/>
      <c r="AR15" s="207"/>
      <c r="AS15" s="207"/>
      <c r="AT15" s="50"/>
      <c r="AU15" s="98"/>
    </row>
    <row r="16" spans="1:47" ht="13.5" hidden="1" outlineLevel="1" thickBot="1" x14ac:dyDescent="0.25">
      <c r="A16" s="88">
        <v>3</v>
      </c>
      <c r="B16" s="32" t="s">
        <v>98</v>
      </c>
      <c r="C16" s="190">
        <v>31853</v>
      </c>
      <c r="D16" s="190">
        <v>87744.319999999992</v>
      </c>
      <c r="E16" s="190">
        <v>0</v>
      </c>
      <c r="F16" s="190">
        <v>0</v>
      </c>
      <c r="G16" s="190">
        <v>0</v>
      </c>
      <c r="H16" s="190">
        <v>0</v>
      </c>
      <c r="I16" s="190">
        <f>SUM(C16:H16)</f>
        <v>119597.31999999999</v>
      </c>
      <c r="J16" s="214"/>
      <c r="K16" s="50"/>
      <c r="L16" s="207"/>
      <c r="M16" s="207"/>
      <c r="N16" s="207"/>
      <c r="O16" s="207"/>
      <c r="P16" s="207"/>
      <c r="Q16" s="207"/>
      <c r="R16" s="50"/>
      <c r="S16" s="168">
        <v>0</v>
      </c>
      <c r="T16" s="168">
        <v>0</v>
      </c>
      <c r="U16" s="168">
        <v>0</v>
      </c>
      <c r="V16" s="168">
        <v>0</v>
      </c>
      <c r="W16" s="168">
        <v>0</v>
      </c>
      <c r="X16" s="168">
        <v>0</v>
      </c>
      <c r="Y16" s="168">
        <v>0</v>
      </c>
      <c r="Z16" s="168">
        <v>0</v>
      </c>
      <c r="AA16" s="168">
        <v>0</v>
      </c>
      <c r="AB16" s="168">
        <v>0</v>
      </c>
      <c r="AC16" s="168">
        <v>0</v>
      </c>
      <c r="AD16" s="168">
        <v>0</v>
      </c>
      <c r="AE16" s="168">
        <v>0</v>
      </c>
      <c r="AF16" s="169">
        <f>SUM(S16:AE16)</f>
        <v>0</v>
      </c>
      <c r="AG16" s="50"/>
      <c r="AH16" s="207"/>
      <c r="AI16" s="207"/>
      <c r="AJ16" s="207"/>
      <c r="AK16" s="207"/>
      <c r="AL16" s="207"/>
      <c r="AM16" s="207"/>
      <c r="AN16" s="207"/>
      <c r="AO16" s="207"/>
      <c r="AP16" s="207"/>
      <c r="AQ16" s="207"/>
      <c r="AR16" s="207"/>
      <c r="AS16" s="207"/>
      <c r="AT16" s="50"/>
      <c r="AU16" s="103"/>
    </row>
    <row r="17" spans="1:47" collapsed="1" x14ac:dyDescent="0.2">
      <c r="A17" s="40">
        <v>3</v>
      </c>
      <c r="B17" s="45" t="s">
        <v>4</v>
      </c>
      <c r="C17" s="191">
        <f t="shared" ref="C17:H17" si="2">SUM(C13:C16)</f>
        <v>371853</v>
      </c>
      <c r="D17" s="191">
        <f t="shared" si="2"/>
        <v>499782.95999999996</v>
      </c>
      <c r="E17" s="191">
        <f t="shared" si="2"/>
        <v>0</v>
      </c>
      <c r="F17" s="191">
        <f t="shared" si="2"/>
        <v>0</v>
      </c>
      <c r="G17" s="191">
        <f t="shared" si="2"/>
        <v>0</v>
      </c>
      <c r="H17" s="191">
        <f t="shared" si="2"/>
        <v>0</v>
      </c>
      <c r="I17" s="191">
        <f>SUM(C17:H17)</f>
        <v>871635.96</v>
      </c>
      <c r="J17" s="34"/>
      <c r="K17" s="89"/>
      <c r="L17" s="207">
        <f>C17/I17</f>
        <v>0.42661502859519473</v>
      </c>
      <c r="M17" s="207">
        <f>D17/I17</f>
        <v>0.57338497140480527</v>
      </c>
      <c r="N17" s="207">
        <f>E17/I17</f>
        <v>0</v>
      </c>
      <c r="O17" s="207">
        <f>F17/I17</f>
        <v>0</v>
      </c>
      <c r="P17" s="207">
        <f>G17/I17</f>
        <v>0</v>
      </c>
      <c r="Q17" s="207">
        <f>H17/I17</f>
        <v>0</v>
      </c>
      <c r="R17" s="50"/>
      <c r="S17" s="170">
        <v>692096</v>
      </c>
      <c r="T17" s="170">
        <f>47397.89+78508.28+71438.81+2150.8</f>
        <v>199495.77999999997</v>
      </c>
      <c r="U17" s="171">
        <v>0</v>
      </c>
      <c r="V17" s="171">
        <v>3559.28</v>
      </c>
      <c r="W17" s="171">
        <v>3444.71</v>
      </c>
      <c r="X17" s="171">
        <v>0</v>
      </c>
      <c r="Y17" s="171">
        <v>0</v>
      </c>
      <c r="Z17" s="171">
        <v>3439.36</v>
      </c>
      <c r="AA17" s="171">
        <v>0</v>
      </c>
      <c r="AB17" s="171">
        <v>100</v>
      </c>
      <c r="AC17" s="171">
        <v>9930.9699999999993</v>
      </c>
      <c r="AD17" s="171">
        <v>0</v>
      </c>
      <c r="AE17" s="171">
        <f>4214.53+8052.29+1240.31+923</f>
        <v>14430.13</v>
      </c>
      <c r="AF17" s="172">
        <f>SUM(S17:AE17)</f>
        <v>926496.23</v>
      </c>
      <c r="AG17" s="89"/>
      <c r="AH17" s="207">
        <f>(S17+T17)/AF17</f>
        <v>0.96232639824125354</v>
      </c>
      <c r="AI17" s="207">
        <f>U17/AF17</f>
        <v>0</v>
      </c>
      <c r="AJ17" s="207">
        <f>V17/AF17</f>
        <v>3.8416562148342473E-3</v>
      </c>
      <c r="AK17" s="207">
        <f>W17/AF17</f>
        <v>3.7179967801919712E-3</v>
      </c>
      <c r="AL17" s="207">
        <f>X17/AF17</f>
        <v>0</v>
      </c>
      <c r="AM17" s="207">
        <f>Y17/AF17</f>
        <v>0</v>
      </c>
      <c r="AN17" s="207">
        <f>Z17/AF17</f>
        <v>3.7122223368356287E-3</v>
      </c>
      <c r="AO17" s="207">
        <f>AA17/AF17</f>
        <v>0</v>
      </c>
      <c r="AP17" s="207">
        <f>AB17/AF17</f>
        <v>1.0793352067930163E-4</v>
      </c>
      <c r="AQ17" s="207">
        <f>AC17/AF17</f>
        <v>1.0718845558605241E-2</v>
      </c>
      <c r="AR17" s="207">
        <f>AD17/AF17</f>
        <v>0</v>
      </c>
      <c r="AS17" s="207">
        <f>AE17/AF17</f>
        <v>1.5574947347600107E-2</v>
      </c>
      <c r="AT17" s="89"/>
      <c r="AU17" s="124">
        <f>I17-AF17</f>
        <v>-54860.270000000019</v>
      </c>
    </row>
    <row r="18" spans="1:47" s="5" customFormat="1" x14ac:dyDescent="0.2">
      <c r="A18" s="91"/>
      <c r="B18" s="26"/>
      <c r="C18" s="30"/>
      <c r="D18" s="30"/>
      <c r="E18" s="30"/>
      <c r="F18" s="30"/>
      <c r="G18" s="30"/>
      <c r="H18" s="30"/>
      <c r="I18" s="30"/>
      <c r="J18" s="30"/>
      <c r="K18" s="52"/>
      <c r="L18" s="218"/>
      <c r="M18" s="218"/>
      <c r="N18" s="218"/>
      <c r="O18" s="218"/>
      <c r="P18" s="218"/>
      <c r="Q18" s="218"/>
      <c r="R18" s="89"/>
      <c r="S18" s="116"/>
      <c r="T18" s="116"/>
      <c r="U18" s="116"/>
      <c r="V18" s="116"/>
      <c r="W18" s="116"/>
      <c r="X18" s="116"/>
      <c r="Y18" s="116"/>
      <c r="Z18" s="116"/>
      <c r="AA18" s="116"/>
      <c r="AB18" s="116"/>
      <c r="AC18" s="116"/>
      <c r="AD18" s="116"/>
      <c r="AE18" s="116"/>
      <c r="AF18" s="116"/>
      <c r="AG18" s="52"/>
      <c r="AH18" s="116"/>
      <c r="AI18" s="116"/>
      <c r="AJ18" s="116"/>
      <c r="AK18" s="116"/>
      <c r="AL18" s="116"/>
      <c r="AM18" s="116"/>
      <c r="AN18" s="116"/>
      <c r="AO18" s="116"/>
      <c r="AP18" s="116"/>
      <c r="AQ18" s="116"/>
      <c r="AR18" s="116"/>
      <c r="AS18" s="116"/>
      <c r="AT18" s="52"/>
      <c r="AU18" s="105"/>
    </row>
    <row r="19" spans="1:47" hidden="1" outlineLevel="1" x14ac:dyDescent="0.2">
      <c r="A19" s="88">
        <v>4</v>
      </c>
      <c r="B19" s="32" t="s">
        <v>99</v>
      </c>
      <c r="C19" s="189">
        <v>189050</v>
      </c>
      <c r="D19" s="189">
        <v>119125.09</v>
      </c>
      <c r="E19" s="189">
        <v>0</v>
      </c>
      <c r="F19" s="189">
        <v>0</v>
      </c>
      <c r="G19" s="189">
        <v>0</v>
      </c>
      <c r="H19" s="189">
        <v>0</v>
      </c>
      <c r="I19" s="189">
        <f>SUM(C19:H19)</f>
        <v>308175.08999999997</v>
      </c>
      <c r="J19" s="214"/>
      <c r="K19" s="50"/>
      <c r="L19" s="207"/>
      <c r="M19" s="207"/>
      <c r="N19" s="207"/>
      <c r="O19" s="207"/>
      <c r="P19" s="207"/>
      <c r="Q19" s="207"/>
      <c r="R19" s="52"/>
      <c r="S19" s="166">
        <v>0</v>
      </c>
      <c r="T19" s="166">
        <v>0</v>
      </c>
      <c r="U19" s="166">
        <v>0</v>
      </c>
      <c r="V19" s="166">
        <v>0</v>
      </c>
      <c r="W19" s="166">
        <v>0</v>
      </c>
      <c r="X19" s="166">
        <v>0</v>
      </c>
      <c r="Y19" s="166">
        <v>0</v>
      </c>
      <c r="Z19" s="166">
        <v>0</v>
      </c>
      <c r="AA19" s="166">
        <v>0</v>
      </c>
      <c r="AB19" s="166">
        <v>0</v>
      </c>
      <c r="AC19" s="166">
        <v>0</v>
      </c>
      <c r="AD19" s="166">
        <v>0</v>
      </c>
      <c r="AE19" s="166">
        <v>0</v>
      </c>
      <c r="AF19" s="167">
        <f>SUM(S19:AE19)</f>
        <v>0</v>
      </c>
      <c r="AG19" s="50"/>
      <c r="AH19" s="207"/>
      <c r="AI19" s="207"/>
      <c r="AJ19" s="207"/>
      <c r="AK19" s="207"/>
      <c r="AL19" s="207"/>
      <c r="AM19" s="207"/>
      <c r="AN19" s="207"/>
      <c r="AO19" s="207"/>
      <c r="AP19" s="207"/>
      <c r="AQ19" s="207"/>
      <c r="AR19" s="207"/>
      <c r="AS19" s="207"/>
      <c r="AT19" s="50"/>
      <c r="AU19" s="98"/>
    </row>
    <row r="20" spans="1:47" hidden="1" outlineLevel="1" x14ac:dyDescent="0.2">
      <c r="A20" s="88">
        <v>4</v>
      </c>
      <c r="B20" s="32" t="s">
        <v>100</v>
      </c>
      <c r="C20" s="189">
        <v>145000</v>
      </c>
      <c r="D20" s="189">
        <v>175068.02</v>
      </c>
      <c r="E20" s="189">
        <v>0</v>
      </c>
      <c r="F20" s="189">
        <v>0</v>
      </c>
      <c r="G20" s="189">
        <v>0</v>
      </c>
      <c r="H20" s="189">
        <v>0</v>
      </c>
      <c r="I20" s="189">
        <f>SUM(C20:H20)</f>
        <v>320068.02</v>
      </c>
      <c r="J20" s="214"/>
      <c r="K20" s="50"/>
      <c r="L20" s="207"/>
      <c r="M20" s="207"/>
      <c r="N20" s="207"/>
      <c r="O20" s="207"/>
      <c r="P20" s="207"/>
      <c r="Q20" s="207"/>
      <c r="R20" s="50"/>
      <c r="S20" s="166">
        <v>0</v>
      </c>
      <c r="T20" s="166">
        <v>0</v>
      </c>
      <c r="U20" s="166">
        <v>0</v>
      </c>
      <c r="V20" s="166">
        <v>0</v>
      </c>
      <c r="W20" s="166">
        <v>0</v>
      </c>
      <c r="X20" s="166">
        <v>0</v>
      </c>
      <c r="Y20" s="166">
        <v>0</v>
      </c>
      <c r="Z20" s="166">
        <v>0</v>
      </c>
      <c r="AA20" s="166">
        <v>0</v>
      </c>
      <c r="AB20" s="166">
        <v>0</v>
      </c>
      <c r="AC20" s="166">
        <v>0</v>
      </c>
      <c r="AD20" s="166">
        <v>0</v>
      </c>
      <c r="AE20" s="166">
        <v>0</v>
      </c>
      <c r="AF20" s="167">
        <f>SUM(S20:AE20)</f>
        <v>0</v>
      </c>
      <c r="AG20" s="50"/>
      <c r="AH20" s="207"/>
      <c r="AI20" s="207"/>
      <c r="AJ20" s="207"/>
      <c r="AK20" s="207"/>
      <c r="AL20" s="207"/>
      <c r="AM20" s="207"/>
      <c r="AN20" s="207"/>
      <c r="AO20" s="207"/>
      <c r="AP20" s="207"/>
      <c r="AQ20" s="207"/>
      <c r="AR20" s="207"/>
      <c r="AS20" s="207"/>
      <c r="AT20" s="50"/>
      <c r="AU20" s="98"/>
    </row>
    <row r="21" spans="1:47" hidden="1" outlineLevel="1" x14ac:dyDescent="0.2">
      <c r="A21" s="88">
        <v>4</v>
      </c>
      <c r="B21" s="32" t="s">
        <v>101</v>
      </c>
      <c r="C21" s="189">
        <f>'[4]Dillion Revenue '!$B$11</f>
        <v>54000</v>
      </c>
      <c r="D21" s="189">
        <f>'[4]Dillion Revenue '!$B$3</f>
        <v>81726.159999999989</v>
      </c>
      <c r="E21" s="189">
        <v>0</v>
      </c>
      <c r="F21" s="189">
        <v>0</v>
      </c>
      <c r="G21" s="189">
        <v>0</v>
      </c>
      <c r="H21" s="189">
        <v>0</v>
      </c>
      <c r="I21" s="189">
        <f>SUM(C21:H21)</f>
        <v>135726.15999999997</v>
      </c>
      <c r="J21" s="214"/>
      <c r="K21" s="50"/>
      <c r="L21" s="207"/>
      <c r="M21" s="207"/>
      <c r="N21" s="207"/>
      <c r="O21" s="207"/>
      <c r="P21" s="207"/>
      <c r="Q21" s="207"/>
      <c r="R21" s="50"/>
      <c r="S21" s="166">
        <v>0</v>
      </c>
      <c r="T21" s="166">
        <v>0</v>
      </c>
      <c r="U21" s="166">
        <v>0</v>
      </c>
      <c r="V21" s="166">
        <v>0</v>
      </c>
      <c r="W21" s="166">
        <v>0</v>
      </c>
      <c r="X21" s="166">
        <v>0</v>
      </c>
      <c r="Y21" s="166">
        <v>0</v>
      </c>
      <c r="Z21" s="166">
        <v>0</v>
      </c>
      <c r="AA21" s="166">
        <v>0</v>
      </c>
      <c r="AB21" s="166">
        <v>0</v>
      </c>
      <c r="AC21" s="166">
        <v>0</v>
      </c>
      <c r="AD21" s="166">
        <v>0</v>
      </c>
      <c r="AE21" s="166">
        <v>0</v>
      </c>
      <c r="AF21" s="167">
        <f>SUM(S21:AE21)</f>
        <v>0</v>
      </c>
      <c r="AG21" s="50"/>
      <c r="AH21" s="207"/>
      <c r="AI21" s="207"/>
      <c r="AJ21" s="207"/>
      <c r="AK21" s="207"/>
      <c r="AL21" s="207"/>
      <c r="AM21" s="207"/>
      <c r="AN21" s="207"/>
      <c r="AO21" s="207"/>
      <c r="AP21" s="207"/>
      <c r="AQ21" s="207"/>
      <c r="AR21" s="207"/>
      <c r="AS21" s="207"/>
      <c r="AT21" s="50"/>
      <c r="AU21" s="98"/>
    </row>
    <row r="22" spans="1:47" ht="13.5" hidden="1" outlineLevel="1" thickBot="1" x14ac:dyDescent="0.25">
      <c r="A22" s="88">
        <v>4</v>
      </c>
      <c r="B22" s="32" t="s">
        <v>102</v>
      </c>
      <c r="C22" s="190">
        <f>'[4]Marlboro Revenue'!$B$11</f>
        <v>56290</v>
      </c>
      <c r="D22" s="190">
        <f>'[4]Marlboro Revenue'!$B$3</f>
        <v>73750.3</v>
      </c>
      <c r="E22" s="190">
        <v>0</v>
      </c>
      <c r="F22" s="190">
        <v>0</v>
      </c>
      <c r="G22" s="190">
        <v>0</v>
      </c>
      <c r="H22" s="190">
        <v>0</v>
      </c>
      <c r="I22" s="190">
        <f>SUM(C22:H22)</f>
        <v>130040.3</v>
      </c>
      <c r="J22" s="214"/>
      <c r="K22" s="50"/>
      <c r="L22" s="207"/>
      <c r="M22" s="207"/>
      <c r="N22" s="207"/>
      <c r="O22" s="207"/>
      <c r="P22" s="207"/>
      <c r="Q22" s="207"/>
      <c r="R22" s="50"/>
      <c r="S22" s="168">
        <v>0</v>
      </c>
      <c r="T22" s="168">
        <v>0</v>
      </c>
      <c r="U22" s="168">
        <v>0</v>
      </c>
      <c r="V22" s="168">
        <v>0</v>
      </c>
      <c r="W22" s="168">
        <v>0</v>
      </c>
      <c r="X22" s="168">
        <v>0</v>
      </c>
      <c r="Y22" s="168">
        <v>0</v>
      </c>
      <c r="Z22" s="168">
        <v>0</v>
      </c>
      <c r="AA22" s="168">
        <v>0</v>
      </c>
      <c r="AB22" s="168">
        <v>0</v>
      </c>
      <c r="AC22" s="168">
        <v>0</v>
      </c>
      <c r="AD22" s="168">
        <v>0</v>
      </c>
      <c r="AE22" s="168">
        <v>0</v>
      </c>
      <c r="AF22" s="169">
        <f>SUM(S22:AE22)</f>
        <v>0</v>
      </c>
      <c r="AG22" s="50"/>
      <c r="AH22" s="207"/>
      <c r="AI22" s="207"/>
      <c r="AJ22" s="207"/>
      <c r="AK22" s="207"/>
      <c r="AL22" s="207"/>
      <c r="AM22" s="207"/>
      <c r="AN22" s="207"/>
      <c r="AO22" s="207"/>
      <c r="AP22" s="207"/>
      <c r="AQ22" s="207"/>
      <c r="AR22" s="207"/>
      <c r="AS22" s="207"/>
      <c r="AT22" s="50"/>
      <c r="AU22" s="103"/>
    </row>
    <row r="23" spans="1:47" collapsed="1" x14ac:dyDescent="0.2">
      <c r="A23" s="40">
        <v>4</v>
      </c>
      <c r="B23" s="45" t="s">
        <v>4</v>
      </c>
      <c r="C23" s="191">
        <f t="shared" ref="C23:H23" si="3">SUM(C19:C22)</f>
        <v>444340</v>
      </c>
      <c r="D23" s="191">
        <f t="shared" si="3"/>
        <v>449669.56999999995</v>
      </c>
      <c r="E23" s="191">
        <f t="shared" si="3"/>
        <v>0</v>
      </c>
      <c r="F23" s="191">
        <f t="shared" si="3"/>
        <v>0</v>
      </c>
      <c r="G23" s="191">
        <f t="shared" si="3"/>
        <v>0</v>
      </c>
      <c r="H23" s="191">
        <f t="shared" si="3"/>
        <v>0</v>
      </c>
      <c r="I23" s="191">
        <f>SUM(C23:H23)</f>
        <v>894009.57</v>
      </c>
      <c r="J23" s="34"/>
      <c r="K23" s="89"/>
      <c r="L23" s="207">
        <f>C23/I23</f>
        <v>0.49701928805974643</v>
      </c>
      <c r="M23" s="207">
        <f>D23/I23</f>
        <v>0.50298071194025362</v>
      </c>
      <c r="N23" s="207">
        <f>E23/I23</f>
        <v>0</v>
      </c>
      <c r="O23" s="207">
        <f>F23/I23</f>
        <v>0</v>
      </c>
      <c r="P23" s="207">
        <f>G23/I23</f>
        <v>0</v>
      </c>
      <c r="Q23" s="207">
        <f>H23/I23</f>
        <v>0</v>
      </c>
      <c r="R23" s="50"/>
      <c r="S23" s="171">
        <v>525693.04</v>
      </c>
      <c r="T23" s="171">
        <f>147841.85+2178.91</f>
        <v>150020.76</v>
      </c>
      <c r="U23" s="171">
        <v>1572.25</v>
      </c>
      <c r="V23" s="171">
        <v>80040.429999999993</v>
      </c>
      <c r="W23" s="171">
        <v>732</v>
      </c>
      <c r="X23" s="171">
        <v>5850</v>
      </c>
      <c r="Y23" s="171">
        <v>6878.13</v>
      </c>
      <c r="Z23" s="171">
        <v>5047.05</v>
      </c>
      <c r="AA23" s="171">
        <v>0</v>
      </c>
      <c r="AB23" s="171">
        <v>15925</v>
      </c>
      <c r="AC23" s="171">
        <v>10818.84</v>
      </c>
      <c r="AD23" s="171">
        <v>475.72</v>
      </c>
      <c r="AE23" s="171">
        <f>7288+27507.68+225+3201.2+178.06</f>
        <v>38399.939999999995</v>
      </c>
      <c r="AF23" s="172">
        <f>SUM(S23:AE23)</f>
        <v>841453.15999999992</v>
      </c>
      <c r="AG23" s="89"/>
      <c r="AH23" s="207">
        <f>(S23+T23)/AF23</f>
        <v>0.80303198338455362</v>
      </c>
      <c r="AI23" s="207">
        <f>U23/AF23</f>
        <v>1.8684937852036828E-3</v>
      </c>
      <c r="AJ23" s="207">
        <f>V23/AF23</f>
        <v>9.5121670230580629E-2</v>
      </c>
      <c r="AK23" s="207">
        <f>W23/AF23</f>
        <v>8.6992364494774743E-4</v>
      </c>
      <c r="AL23" s="207">
        <f>X23/AF23</f>
        <v>6.9522586379020795E-3</v>
      </c>
      <c r="AM23" s="207">
        <f>Y23/AF23</f>
        <v>8.1741091803612699E-3</v>
      </c>
      <c r="AN23" s="207">
        <f>Z23/AF23</f>
        <v>5.99801657408952E-3</v>
      </c>
      <c r="AO23" s="207">
        <f>AA23/AF23</f>
        <v>0</v>
      </c>
      <c r="AP23" s="207">
        <f>AB23/AF23</f>
        <v>1.8925592958733438E-2</v>
      </c>
      <c r="AQ23" s="207">
        <f>AC23/AF23</f>
        <v>1.2857328861894109E-2</v>
      </c>
      <c r="AR23" s="207">
        <f>AD23/AF23</f>
        <v>5.6535529559363716E-4</v>
      </c>
      <c r="AS23" s="207">
        <f>AE23/AF23</f>
        <v>4.5635267446140437E-2</v>
      </c>
      <c r="AT23" s="89"/>
      <c r="AU23" s="124">
        <f>I23-AF23</f>
        <v>52556.410000000033</v>
      </c>
    </row>
    <row r="24" spans="1:47" s="5" customFormat="1" x14ac:dyDescent="0.2">
      <c r="A24" s="91"/>
      <c r="B24" s="26"/>
      <c r="C24" s="30"/>
      <c r="D24" s="30"/>
      <c r="E24" s="30"/>
      <c r="F24" s="30"/>
      <c r="G24" s="30"/>
      <c r="H24" s="30"/>
      <c r="I24" s="30"/>
      <c r="J24" s="30"/>
      <c r="K24" s="52"/>
      <c r="L24" s="218"/>
      <c r="M24" s="218"/>
      <c r="N24" s="218"/>
      <c r="O24" s="218"/>
      <c r="P24" s="218"/>
      <c r="Q24" s="218"/>
      <c r="R24" s="89"/>
      <c r="S24" s="116"/>
      <c r="T24" s="116"/>
      <c r="U24" s="116"/>
      <c r="V24" s="116"/>
      <c r="W24" s="116"/>
      <c r="X24" s="116"/>
      <c r="Y24" s="116"/>
      <c r="Z24" s="116"/>
      <c r="AA24" s="116"/>
      <c r="AB24" s="116"/>
      <c r="AC24" s="116"/>
      <c r="AD24" s="116"/>
      <c r="AE24" s="116"/>
      <c r="AF24" s="116"/>
      <c r="AG24" s="52"/>
      <c r="AH24" s="116"/>
      <c r="AI24" s="116"/>
      <c r="AJ24" s="116"/>
      <c r="AK24" s="116"/>
      <c r="AL24" s="116"/>
      <c r="AM24" s="116"/>
      <c r="AN24" s="116"/>
      <c r="AO24" s="116"/>
      <c r="AP24" s="116"/>
      <c r="AQ24" s="116"/>
      <c r="AR24" s="116"/>
      <c r="AS24" s="116"/>
      <c r="AT24" s="52"/>
      <c r="AU24" s="105"/>
    </row>
    <row r="25" spans="1:47" hidden="1" outlineLevel="1" x14ac:dyDescent="0.2">
      <c r="A25" s="88">
        <v>5</v>
      </c>
      <c r="B25" s="32" t="s">
        <v>105</v>
      </c>
      <c r="C25" s="189">
        <f>'[5]Kershaw Revenue'!$B$11</f>
        <v>150000</v>
      </c>
      <c r="D25" s="189">
        <f>'[5]Kershaw Revenue'!$B$3</f>
        <v>157265.61000000002</v>
      </c>
      <c r="E25" s="189">
        <v>0</v>
      </c>
      <c r="F25" s="189">
        <v>0</v>
      </c>
      <c r="G25" s="189">
        <v>0</v>
      </c>
      <c r="H25" s="189">
        <v>0</v>
      </c>
      <c r="I25" s="189">
        <f>SUM(C25:H25)</f>
        <v>307265.61</v>
      </c>
      <c r="J25" s="214"/>
      <c r="K25" s="50"/>
      <c r="L25" s="207"/>
      <c r="M25" s="207"/>
      <c r="N25" s="207"/>
      <c r="O25" s="207"/>
      <c r="P25" s="207"/>
      <c r="Q25" s="207"/>
      <c r="R25" s="52"/>
      <c r="S25" s="166">
        <v>0</v>
      </c>
      <c r="T25" s="166">
        <v>0</v>
      </c>
      <c r="U25" s="166">
        <v>0</v>
      </c>
      <c r="V25" s="166">
        <v>0</v>
      </c>
      <c r="W25" s="166">
        <v>0</v>
      </c>
      <c r="X25" s="166">
        <v>0</v>
      </c>
      <c r="Y25" s="166">
        <v>0</v>
      </c>
      <c r="Z25" s="166">
        <v>0</v>
      </c>
      <c r="AA25" s="166">
        <v>0</v>
      </c>
      <c r="AB25" s="166">
        <v>0</v>
      </c>
      <c r="AC25" s="166">
        <v>0</v>
      </c>
      <c r="AD25" s="166">
        <v>0</v>
      </c>
      <c r="AE25" s="166">
        <v>0</v>
      </c>
      <c r="AF25" s="167">
        <f>SUM(S25:AE25)</f>
        <v>0</v>
      </c>
      <c r="AG25" s="50"/>
      <c r="AH25" s="207"/>
      <c r="AI25" s="207"/>
      <c r="AJ25" s="207"/>
      <c r="AK25" s="207"/>
      <c r="AL25" s="207"/>
      <c r="AM25" s="207"/>
      <c r="AN25" s="207"/>
      <c r="AO25" s="207"/>
      <c r="AP25" s="207"/>
      <c r="AQ25" s="207"/>
      <c r="AR25" s="207"/>
      <c r="AS25" s="207"/>
      <c r="AT25" s="50"/>
      <c r="AU25" s="98"/>
    </row>
    <row r="26" spans="1:47" ht="39" hidden="1" outlineLevel="1" thickBot="1" x14ac:dyDescent="0.25">
      <c r="A26" s="88">
        <v>5</v>
      </c>
      <c r="B26" s="32" t="s">
        <v>106</v>
      </c>
      <c r="C26" s="190">
        <f>'[5]Richland Revenue '!$B$11</f>
        <v>1567650</v>
      </c>
      <c r="D26" s="190">
        <f>'[5]Richland Revenue '!$B$3</f>
        <v>980101.69000000006</v>
      </c>
      <c r="E26" s="190">
        <v>0</v>
      </c>
      <c r="F26" s="190">
        <f>'[5]Richland Revenue '!$B$13</f>
        <v>100000</v>
      </c>
      <c r="G26" s="190">
        <f>'[5]Richland Revenue '!$B$14</f>
        <v>0</v>
      </c>
      <c r="H26" s="190">
        <f>'[5]Richland Revenue '!$B$15</f>
        <v>12000</v>
      </c>
      <c r="I26" s="190">
        <f>SUM(C26:H26)</f>
        <v>2659751.69</v>
      </c>
      <c r="J26" s="214" t="s">
        <v>107</v>
      </c>
      <c r="K26" s="50"/>
      <c r="L26" s="207"/>
      <c r="M26" s="207"/>
      <c r="N26" s="207"/>
      <c r="O26" s="207"/>
      <c r="P26" s="207"/>
      <c r="Q26" s="207"/>
      <c r="R26" s="50"/>
      <c r="S26" s="168">
        <v>0</v>
      </c>
      <c r="T26" s="168">
        <v>0</v>
      </c>
      <c r="U26" s="168">
        <v>0</v>
      </c>
      <c r="V26" s="168">
        <v>0</v>
      </c>
      <c r="W26" s="168">
        <v>0</v>
      </c>
      <c r="X26" s="168">
        <v>0</v>
      </c>
      <c r="Y26" s="168">
        <v>0</v>
      </c>
      <c r="Z26" s="168">
        <v>0</v>
      </c>
      <c r="AA26" s="168">
        <v>0</v>
      </c>
      <c r="AB26" s="168">
        <v>0</v>
      </c>
      <c r="AC26" s="168">
        <v>0</v>
      </c>
      <c r="AD26" s="168">
        <v>0</v>
      </c>
      <c r="AE26" s="168">
        <v>0</v>
      </c>
      <c r="AF26" s="169">
        <f>SUM(S26:AE26)</f>
        <v>0</v>
      </c>
      <c r="AG26" s="50"/>
      <c r="AH26" s="207"/>
      <c r="AI26" s="207"/>
      <c r="AJ26" s="207"/>
      <c r="AK26" s="207"/>
      <c r="AL26" s="207"/>
      <c r="AM26" s="207"/>
      <c r="AN26" s="207"/>
      <c r="AO26" s="207"/>
      <c r="AP26" s="207"/>
      <c r="AQ26" s="207"/>
      <c r="AR26" s="207"/>
      <c r="AS26" s="207"/>
      <c r="AT26" s="50"/>
      <c r="AU26" s="103"/>
    </row>
    <row r="27" spans="1:47" collapsed="1" x14ac:dyDescent="0.2">
      <c r="A27" s="40">
        <v>5</v>
      </c>
      <c r="B27" s="45" t="s">
        <v>4</v>
      </c>
      <c r="C27" s="191">
        <f t="shared" ref="C27:H27" si="4">SUM(C25:C26)</f>
        <v>1717650</v>
      </c>
      <c r="D27" s="191">
        <f t="shared" si="4"/>
        <v>1137367.3</v>
      </c>
      <c r="E27" s="191">
        <f t="shared" si="4"/>
        <v>0</v>
      </c>
      <c r="F27" s="191">
        <f t="shared" si="4"/>
        <v>100000</v>
      </c>
      <c r="G27" s="191">
        <f t="shared" si="4"/>
        <v>0</v>
      </c>
      <c r="H27" s="191">
        <f t="shared" si="4"/>
        <v>12000</v>
      </c>
      <c r="I27" s="191">
        <f>SUM(C27:H27)</f>
        <v>2967017.3</v>
      </c>
      <c r="J27" s="34"/>
      <c r="K27" s="89"/>
      <c r="L27" s="207">
        <f>C27/I27</f>
        <v>0.57891472355081997</v>
      </c>
      <c r="M27" s="207">
        <f>D27/I27</f>
        <v>0.38333692897577648</v>
      </c>
      <c r="N27" s="207">
        <f>E27/I27</f>
        <v>0</v>
      </c>
      <c r="O27" s="207">
        <f>F27/I27</f>
        <v>3.370388167268186E-2</v>
      </c>
      <c r="P27" s="207">
        <f>G27/I27</f>
        <v>0</v>
      </c>
      <c r="Q27" s="207">
        <f>H27/I27</f>
        <v>4.0444658007218227E-3</v>
      </c>
      <c r="R27" s="50"/>
      <c r="S27" s="170">
        <f>1567650+1389044.22</f>
        <v>2956694.2199999997</v>
      </c>
      <c r="T27" s="170">
        <v>0</v>
      </c>
      <c r="U27" s="171">
        <v>18411.77</v>
      </c>
      <c r="V27" s="171">
        <v>0</v>
      </c>
      <c r="W27" s="171">
        <v>1324.89</v>
      </c>
      <c r="X27" s="171">
        <v>10764</v>
      </c>
      <c r="Y27" s="171">
        <v>1521.15</v>
      </c>
      <c r="Z27" s="171">
        <v>14812.55</v>
      </c>
      <c r="AA27" s="171">
        <v>3071.37</v>
      </c>
      <c r="AB27" s="171">
        <v>5539.25</v>
      </c>
      <c r="AC27" s="171">
        <v>47790.05</v>
      </c>
      <c r="AD27" s="171">
        <v>0</v>
      </c>
      <c r="AE27" s="171">
        <f>550+45272.75+6789.8+14292.5+18337.62</f>
        <v>85242.67</v>
      </c>
      <c r="AF27" s="172">
        <f>SUM(S27:AE27)</f>
        <v>3145171.9199999995</v>
      </c>
      <c r="AG27" s="89"/>
      <c r="AH27" s="207">
        <f>(S27+T27)/AF27</f>
        <v>0.94007395945465522</v>
      </c>
      <c r="AI27" s="207">
        <f>U27/AF27</f>
        <v>5.8539788820192711E-3</v>
      </c>
      <c r="AJ27" s="207">
        <f>V27/AF27</f>
        <v>0</v>
      </c>
      <c r="AK27" s="207">
        <f>W27/AF27</f>
        <v>4.2124565324238309E-4</v>
      </c>
      <c r="AL27" s="207">
        <f>X27/AF27</f>
        <v>3.4223884333801384E-3</v>
      </c>
      <c r="AM27" s="207">
        <f>Y27/AF27</f>
        <v>4.8364605773283144E-4</v>
      </c>
      <c r="AN27" s="207">
        <f>Z27/AF27</f>
        <v>4.7096153650004616E-3</v>
      </c>
      <c r="AO27" s="207">
        <f>AA27/AF27</f>
        <v>9.7653485345882156E-4</v>
      </c>
      <c r="AP27" s="207">
        <f>AB27/AF27</f>
        <v>1.7611914836121267E-3</v>
      </c>
      <c r="AQ27" s="207">
        <f>AC27/AF27</f>
        <v>1.5194733774680277E-2</v>
      </c>
      <c r="AR27" s="207">
        <f>AD27/AF27</f>
        <v>0</v>
      </c>
      <c r="AS27" s="207">
        <f>AE27/AF27</f>
        <v>2.7102706042218518E-2</v>
      </c>
      <c r="AT27" s="89"/>
      <c r="AU27" s="124">
        <f>I27-AF27</f>
        <v>-178154.61999999965</v>
      </c>
    </row>
    <row r="28" spans="1:47" s="5" customFormat="1" x14ac:dyDescent="0.2">
      <c r="A28" s="91"/>
      <c r="B28" s="26"/>
      <c r="C28" s="30"/>
      <c r="D28" s="30"/>
      <c r="E28" s="30"/>
      <c r="F28" s="30"/>
      <c r="G28" s="30"/>
      <c r="H28" s="30"/>
      <c r="I28" s="30"/>
      <c r="J28" s="30"/>
      <c r="K28" s="52"/>
      <c r="L28" s="218"/>
      <c r="M28" s="218"/>
      <c r="N28" s="218"/>
      <c r="O28" s="218"/>
      <c r="P28" s="218"/>
      <c r="Q28" s="218"/>
      <c r="R28" s="89"/>
      <c r="S28" s="116"/>
      <c r="T28" s="116"/>
      <c r="U28" s="116"/>
      <c r="V28" s="116"/>
      <c r="W28" s="116"/>
      <c r="X28" s="116"/>
      <c r="Y28" s="116"/>
      <c r="Z28" s="116"/>
      <c r="AA28" s="116"/>
      <c r="AB28" s="116"/>
      <c r="AC28" s="116"/>
      <c r="AD28" s="116"/>
      <c r="AE28" s="116"/>
      <c r="AF28" s="116"/>
      <c r="AG28" s="52"/>
      <c r="AH28" s="116"/>
      <c r="AI28" s="116"/>
      <c r="AJ28" s="116"/>
      <c r="AK28" s="116"/>
      <c r="AL28" s="116"/>
      <c r="AM28" s="116"/>
      <c r="AN28" s="116"/>
      <c r="AO28" s="116"/>
      <c r="AP28" s="116"/>
      <c r="AQ28" s="116"/>
      <c r="AR28" s="116"/>
      <c r="AS28" s="116"/>
      <c r="AT28" s="52"/>
      <c r="AU28" s="105"/>
    </row>
    <row r="29" spans="1:47" hidden="1" outlineLevel="1" x14ac:dyDescent="0.2">
      <c r="A29" s="88">
        <v>6</v>
      </c>
      <c r="B29" s="32" t="s">
        <v>108</v>
      </c>
      <c r="C29" s="189">
        <f>'[6]Chester Revenue'!$B$11</f>
        <v>100980</v>
      </c>
      <c r="D29" s="189">
        <f>'[6]Chester Revenue'!$B$3</f>
        <v>84473.930000000008</v>
      </c>
      <c r="E29" s="189">
        <v>0</v>
      </c>
      <c r="F29" s="189">
        <v>0</v>
      </c>
      <c r="G29" s="189">
        <v>0</v>
      </c>
      <c r="H29" s="189">
        <v>0</v>
      </c>
      <c r="I29" s="189">
        <f>SUM(C29:H29)</f>
        <v>185453.93</v>
      </c>
      <c r="J29" s="214"/>
      <c r="K29" s="50"/>
      <c r="L29" s="207"/>
      <c r="M29" s="207"/>
      <c r="N29" s="207"/>
      <c r="O29" s="207"/>
      <c r="P29" s="207"/>
      <c r="Q29" s="207"/>
      <c r="R29" s="52"/>
      <c r="S29" s="166">
        <v>0</v>
      </c>
      <c r="T29" s="166">
        <v>0</v>
      </c>
      <c r="U29" s="166">
        <v>0</v>
      </c>
      <c r="V29" s="166">
        <v>0</v>
      </c>
      <c r="W29" s="166">
        <v>0</v>
      </c>
      <c r="X29" s="166">
        <v>0</v>
      </c>
      <c r="Y29" s="166">
        <v>0</v>
      </c>
      <c r="Z29" s="166">
        <v>0</v>
      </c>
      <c r="AA29" s="166">
        <v>0</v>
      </c>
      <c r="AB29" s="166">
        <v>0</v>
      </c>
      <c r="AC29" s="166">
        <v>0</v>
      </c>
      <c r="AD29" s="166">
        <v>0</v>
      </c>
      <c r="AE29" s="166">
        <v>0</v>
      </c>
      <c r="AF29" s="167">
        <f>SUM(S29:AE29)</f>
        <v>0</v>
      </c>
      <c r="AG29" s="50"/>
      <c r="AH29" s="207"/>
      <c r="AI29" s="207"/>
      <c r="AJ29" s="207"/>
      <c r="AK29" s="207"/>
      <c r="AL29" s="207"/>
      <c r="AM29" s="207"/>
      <c r="AN29" s="207"/>
      <c r="AO29" s="207"/>
      <c r="AP29" s="207"/>
      <c r="AQ29" s="207"/>
      <c r="AR29" s="207"/>
      <c r="AS29" s="207"/>
      <c r="AT29" s="50"/>
      <c r="AU29" s="98"/>
    </row>
    <row r="30" spans="1:47" hidden="1" outlineLevel="1" x14ac:dyDescent="0.2">
      <c r="A30" s="88">
        <v>6</v>
      </c>
      <c r="B30" s="32" t="s">
        <v>109</v>
      </c>
      <c r="C30" s="189">
        <v>64000</v>
      </c>
      <c r="D30" s="189">
        <v>61063.94</v>
      </c>
      <c r="E30" s="189">
        <v>0</v>
      </c>
      <c r="F30" s="189">
        <v>0</v>
      </c>
      <c r="G30" s="189">
        <v>0</v>
      </c>
      <c r="H30" s="189">
        <v>0</v>
      </c>
      <c r="I30" s="189">
        <f>SUM(C30:H30)</f>
        <v>125063.94</v>
      </c>
      <c r="J30" s="214"/>
      <c r="K30" s="50"/>
      <c r="L30" s="207"/>
      <c r="M30" s="207"/>
      <c r="N30" s="207"/>
      <c r="O30" s="207"/>
      <c r="P30" s="207"/>
      <c r="Q30" s="207"/>
      <c r="R30" s="50"/>
      <c r="S30" s="166">
        <v>0</v>
      </c>
      <c r="T30" s="166">
        <v>0</v>
      </c>
      <c r="U30" s="166">
        <v>0</v>
      </c>
      <c r="V30" s="166">
        <v>0</v>
      </c>
      <c r="W30" s="166">
        <v>0</v>
      </c>
      <c r="X30" s="166">
        <v>0</v>
      </c>
      <c r="Y30" s="166">
        <v>0</v>
      </c>
      <c r="Z30" s="166">
        <v>0</v>
      </c>
      <c r="AA30" s="166">
        <v>0</v>
      </c>
      <c r="AB30" s="166">
        <v>0</v>
      </c>
      <c r="AC30" s="166">
        <v>0</v>
      </c>
      <c r="AD30" s="166">
        <v>0</v>
      </c>
      <c r="AE30" s="166">
        <v>0</v>
      </c>
      <c r="AF30" s="167">
        <f>SUM(S30:AE30)</f>
        <v>0</v>
      </c>
      <c r="AG30" s="50"/>
      <c r="AH30" s="207"/>
      <c r="AI30" s="207"/>
      <c r="AJ30" s="207"/>
      <c r="AK30" s="207"/>
      <c r="AL30" s="207"/>
      <c r="AM30" s="207"/>
      <c r="AN30" s="207"/>
      <c r="AO30" s="207"/>
      <c r="AP30" s="207"/>
      <c r="AQ30" s="207"/>
      <c r="AR30" s="207"/>
      <c r="AS30" s="207"/>
      <c r="AT30" s="50"/>
      <c r="AU30" s="98"/>
    </row>
    <row r="31" spans="1:47" ht="13.5" hidden="1" outlineLevel="1" thickBot="1" x14ac:dyDescent="0.25">
      <c r="A31" s="88">
        <v>6</v>
      </c>
      <c r="B31" s="32" t="s">
        <v>110</v>
      </c>
      <c r="C31" s="190">
        <f>'[6]Lancaster Revenue'!$B$11</f>
        <v>270000</v>
      </c>
      <c r="D31" s="190">
        <f>'[6]Lancaster Revenue'!$B$3</f>
        <v>195386.13999999998</v>
      </c>
      <c r="E31" s="190">
        <v>0</v>
      </c>
      <c r="F31" s="190">
        <v>0</v>
      </c>
      <c r="G31" s="190">
        <v>0</v>
      </c>
      <c r="H31" s="190">
        <v>0</v>
      </c>
      <c r="I31" s="190">
        <f>SUM(C31:H31)</f>
        <v>465386.14</v>
      </c>
      <c r="J31" s="214"/>
      <c r="K31" s="50"/>
      <c r="L31" s="207"/>
      <c r="M31" s="207"/>
      <c r="N31" s="207"/>
      <c r="O31" s="207"/>
      <c r="P31" s="207"/>
      <c r="Q31" s="207"/>
      <c r="R31" s="50"/>
      <c r="S31" s="168">
        <v>0</v>
      </c>
      <c r="T31" s="168">
        <v>0</v>
      </c>
      <c r="U31" s="168">
        <v>0</v>
      </c>
      <c r="V31" s="168">
        <v>0</v>
      </c>
      <c r="W31" s="168">
        <v>0</v>
      </c>
      <c r="X31" s="168">
        <v>0</v>
      </c>
      <c r="Y31" s="168">
        <v>0</v>
      </c>
      <c r="Z31" s="168">
        <v>0</v>
      </c>
      <c r="AA31" s="168">
        <v>0</v>
      </c>
      <c r="AB31" s="168">
        <v>0</v>
      </c>
      <c r="AC31" s="168">
        <v>0</v>
      </c>
      <c r="AD31" s="168">
        <v>0</v>
      </c>
      <c r="AE31" s="168">
        <v>0</v>
      </c>
      <c r="AF31" s="169">
        <f>SUM(S31:AE31)</f>
        <v>0</v>
      </c>
      <c r="AG31" s="50"/>
      <c r="AH31" s="207"/>
      <c r="AI31" s="207"/>
      <c r="AJ31" s="207"/>
      <c r="AK31" s="207"/>
      <c r="AL31" s="207"/>
      <c r="AM31" s="207"/>
      <c r="AN31" s="207"/>
      <c r="AO31" s="207"/>
      <c r="AP31" s="207"/>
      <c r="AQ31" s="207"/>
      <c r="AR31" s="207"/>
      <c r="AS31" s="207"/>
      <c r="AT31" s="50"/>
      <c r="AU31" s="103"/>
    </row>
    <row r="32" spans="1:47" collapsed="1" x14ac:dyDescent="0.2">
      <c r="A32" s="40">
        <v>6</v>
      </c>
      <c r="B32" s="45" t="s">
        <v>4</v>
      </c>
      <c r="C32" s="191">
        <f t="shared" ref="C32:H32" si="5">SUM(C29:C31)</f>
        <v>434980</v>
      </c>
      <c r="D32" s="191">
        <f t="shared" si="5"/>
        <v>340924.01</v>
      </c>
      <c r="E32" s="191">
        <f t="shared" si="5"/>
        <v>0</v>
      </c>
      <c r="F32" s="191">
        <f t="shared" si="5"/>
        <v>0</v>
      </c>
      <c r="G32" s="191">
        <f t="shared" si="5"/>
        <v>0</v>
      </c>
      <c r="H32" s="191">
        <f t="shared" si="5"/>
        <v>0</v>
      </c>
      <c r="I32" s="191">
        <f>SUM(C32:H32)</f>
        <v>775904.01</v>
      </c>
      <c r="J32" s="34"/>
      <c r="K32" s="89"/>
      <c r="L32" s="207">
        <f>C32/I32</f>
        <v>0.56061058377569151</v>
      </c>
      <c r="M32" s="207">
        <f>D32/I32</f>
        <v>0.43938941622430849</v>
      </c>
      <c r="N32" s="207">
        <f>E32/I32</f>
        <v>0</v>
      </c>
      <c r="O32" s="207">
        <f>F32/I32</f>
        <v>0</v>
      </c>
      <c r="P32" s="207">
        <f>G32/I32</f>
        <v>0</v>
      </c>
      <c r="Q32" s="207">
        <f>H32/I32</f>
        <v>0</v>
      </c>
      <c r="R32" s="50"/>
      <c r="S32" s="170">
        <v>628115.43000000005</v>
      </c>
      <c r="T32" s="170">
        <f>44296.03+63972.58+66759.85</f>
        <v>175028.46000000002</v>
      </c>
      <c r="U32" s="171">
        <v>0</v>
      </c>
      <c r="V32" s="171">
        <v>1685.33</v>
      </c>
      <c r="W32" s="171">
        <v>1528.43</v>
      </c>
      <c r="X32" s="171">
        <v>0</v>
      </c>
      <c r="Y32" s="171">
        <v>0</v>
      </c>
      <c r="Z32" s="171">
        <v>11976.93</v>
      </c>
      <c r="AA32" s="171">
        <v>1958.29</v>
      </c>
      <c r="AB32" s="171">
        <v>51639.33</v>
      </c>
      <c r="AC32" s="171">
        <v>7795.26</v>
      </c>
      <c r="AD32" s="171">
        <v>521.14</v>
      </c>
      <c r="AE32" s="171">
        <f>491.14+6170.2+310.53+120+5762.5</f>
        <v>12854.369999999999</v>
      </c>
      <c r="AF32" s="172">
        <f>SUM(S32:AE32)</f>
        <v>893102.9700000002</v>
      </c>
      <c r="AG32" s="89"/>
      <c r="AH32" s="207">
        <f>(S32+T32)/AF32</f>
        <v>0.89927356304727091</v>
      </c>
      <c r="AI32" s="207">
        <f>U32/AF32</f>
        <v>0</v>
      </c>
      <c r="AJ32" s="207">
        <f>V32/AF32</f>
        <v>1.887050045304406E-3</v>
      </c>
      <c r="AK32" s="207">
        <f>W32/AF32</f>
        <v>1.7113704145446966E-3</v>
      </c>
      <c r="AL32" s="207">
        <f>X32/AF32</f>
        <v>0</v>
      </c>
      <c r="AM32" s="207">
        <f>Y32/AF32</f>
        <v>0</v>
      </c>
      <c r="AN32" s="207">
        <f>Z32/AF32</f>
        <v>1.3410469343753272E-2</v>
      </c>
      <c r="AO32" s="207">
        <f>AA32/AF32</f>
        <v>2.1926810970072123E-3</v>
      </c>
      <c r="AP32" s="207">
        <f>AB32/AF32</f>
        <v>5.7820130191706773E-2</v>
      </c>
      <c r="AQ32" s="207">
        <f>AC32/AF32</f>
        <v>8.7282880718670078E-3</v>
      </c>
      <c r="AR32" s="207">
        <f>AD32/AF32</f>
        <v>5.8351614260111556E-4</v>
      </c>
      <c r="AS32" s="207">
        <f>AE32/AF32</f>
        <v>1.4392931645944471E-2</v>
      </c>
      <c r="AT32" s="89"/>
      <c r="AU32" s="124">
        <f>I32-AF32</f>
        <v>-117198.9600000002</v>
      </c>
    </row>
    <row r="33" spans="1:47" s="5" customFormat="1" x14ac:dyDescent="0.2">
      <c r="A33" s="91"/>
      <c r="B33" s="26"/>
      <c r="C33" s="30"/>
      <c r="D33" s="30"/>
      <c r="E33" s="30"/>
      <c r="F33" s="30"/>
      <c r="G33" s="30"/>
      <c r="H33" s="30"/>
      <c r="I33" s="30"/>
      <c r="J33" s="30"/>
      <c r="K33" s="52"/>
      <c r="L33" s="218"/>
      <c r="M33" s="218"/>
      <c r="N33" s="218"/>
      <c r="O33" s="218"/>
      <c r="P33" s="218"/>
      <c r="Q33" s="218"/>
      <c r="R33" s="89"/>
      <c r="S33" s="116"/>
      <c r="T33" s="116"/>
      <c r="U33" s="116"/>
      <c r="V33" s="116"/>
      <c r="W33" s="116"/>
      <c r="X33" s="116"/>
      <c r="Y33" s="116"/>
      <c r="Z33" s="116"/>
      <c r="AA33" s="116"/>
      <c r="AB33" s="116"/>
      <c r="AC33" s="116"/>
      <c r="AD33" s="116"/>
      <c r="AE33" s="116"/>
      <c r="AF33" s="116"/>
      <c r="AG33" s="52"/>
      <c r="AH33" s="116"/>
      <c r="AI33" s="116"/>
      <c r="AJ33" s="116"/>
      <c r="AK33" s="116"/>
      <c r="AL33" s="116"/>
      <c r="AM33" s="116"/>
      <c r="AN33" s="116"/>
      <c r="AO33" s="116"/>
      <c r="AP33" s="116"/>
      <c r="AQ33" s="116"/>
      <c r="AR33" s="116"/>
      <c r="AS33" s="116"/>
      <c r="AT33" s="52"/>
      <c r="AU33" s="105"/>
    </row>
    <row r="34" spans="1:47" hidden="1" outlineLevel="1" x14ac:dyDescent="0.2">
      <c r="A34" s="88">
        <v>7</v>
      </c>
      <c r="B34" s="32" t="s">
        <v>111</v>
      </c>
      <c r="C34" s="189">
        <f>'[7]Cherokee Revenue'!$B$11</f>
        <v>140000</v>
      </c>
      <c r="D34" s="189">
        <f>'[7]Cherokee Revenue'!$B$3</f>
        <v>141066.93</v>
      </c>
      <c r="E34" s="189">
        <v>0</v>
      </c>
      <c r="F34" s="189">
        <v>0</v>
      </c>
      <c r="G34" s="189">
        <v>0</v>
      </c>
      <c r="H34" s="189">
        <v>0</v>
      </c>
      <c r="I34" s="189">
        <f>SUM(C34:H34)</f>
        <v>281066.93</v>
      </c>
      <c r="J34" s="215"/>
      <c r="K34" s="52"/>
      <c r="L34" s="217"/>
      <c r="M34" s="217"/>
      <c r="N34" s="217"/>
      <c r="O34" s="217"/>
      <c r="P34" s="217"/>
      <c r="Q34" s="217"/>
      <c r="R34" s="52"/>
      <c r="S34" s="166">
        <v>0</v>
      </c>
      <c r="T34" s="166">
        <v>0</v>
      </c>
      <c r="U34" s="166">
        <v>0</v>
      </c>
      <c r="V34" s="166">
        <v>0</v>
      </c>
      <c r="W34" s="166">
        <v>0</v>
      </c>
      <c r="X34" s="166">
        <v>0</v>
      </c>
      <c r="Y34" s="166">
        <v>0</v>
      </c>
      <c r="Z34" s="166">
        <v>0</v>
      </c>
      <c r="AA34" s="166">
        <v>0</v>
      </c>
      <c r="AB34" s="166">
        <v>0</v>
      </c>
      <c r="AC34" s="166">
        <v>0</v>
      </c>
      <c r="AD34" s="166">
        <v>0</v>
      </c>
      <c r="AE34" s="166">
        <v>0</v>
      </c>
      <c r="AF34" s="167">
        <f>SUM(S34:AE34)</f>
        <v>0</v>
      </c>
      <c r="AG34" s="52"/>
      <c r="AH34" s="217"/>
      <c r="AI34" s="217"/>
      <c r="AJ34" s="217"/>
      <c r="AK34" s="217"/>
      <c r="AL34" s="217"/>
      <c r="AM34" s="217"/>
      <c r="AN34" s="217"/>
      <c r="AO34" s="217"/>
      <c r="AP34" s="217"/>
      <c r="AQ34" s="217"/>
      <c r="AR34" s="217"/>
      <c r="AS34" s="217"/>
      <c r="AT34" s="52"/>
      <c r="AU34" s="98"/>
    </row>
    <row r="35" spans="1:47" ht="13.5" hidden="1" outlineLevel="1" thickBot="1" x14ac:dyDescent="0.25">
      <c r="A35" s="88">
        <v>7</v>
      </c>
      <c r="B35" s="32" t="s">
        <v>112</v>
      </c>
      <c r="C35" s="190">
        <v>1116169</v>
      </c>
      <c r="D35" s="190">
        <v>724699.35</v>
      </c>
      <c r="E35" s="190">
        <v>0</v>
      </c>
      <c r="F35" s="190">
        <v>0</v>
      </c>
      <c r="G35" s="190">
        <v>0</v>
      </c>
      <c r="H35" s="190">
        <v>0</v>
      </c>
      <c r="I35" s="190">
        <f>SUM(C35:H35)</f>
        <v>1840868.35</v>
      </c>
      <c r="J35" s="215"/>
      <c r="K35" s="52"/>
      <c r="L35" s="217"/>
      <c r="M35" s="217"/>
      <c r="N35" s="217"/>
      <c r="O35" s="217"/>
      <c r="P35" s="217"/>
      <c r="Q35" s="217"/>
      <c r="R35" s="52"/>
      <c r="S35" s="168">
        <v>0</v>
      </c>
      <c r="T35" s="168">
        <v>0</v>
      </c>
      <c r="U35" s="168">
        <v>0</v>
      </c>
      <c r="V35" s="168">
        <v>0</v>
      </c>
      <c r="W35" s="168">
        <v>0</v>
      </c>
      <c r="X35" s="168">
        <v>0</v>
      </c>
      <c r="Y35" s="168">
        <v>0</v>
      </c>
      <c r="Z35" s="168">
        <v>0</v>
      </c>
      <c r="AA35" s="168">
        <v>0</v>
      </c>
      <c r="AB35" s="168">
        <v>0</v>
      </c>
      <c r="AC35" s="168">
        <v>0</v>
      </c>
      <c r="AD35" s="168">
        <v>0</v>
      </c>
      <c r="AE35" s="168">
        <v>0</v>
      </c>
      <c r="AF35" s="169">
        <f>SUM(S35:AE35)</f>
        <v>0</v>
      </c>
      <c r="AG35" s="52"/>
      <c r="AH35" s="217"/>
      <c r="AI35" s="217"/>
      <c r="AJ35" s="217"/>
      <c r="AK35" s="217"/>
      <c r="AL35" s="217"/>
      <c r="AM35" s="217"/>
      <c r="AN35" s="217"/>
      <c r="AO35" s="217"/>
      <c r="AP35" s="217"/>
      <c r="AQ35" s="217"/>
      <c r="AR35" s="217"/>
      <c r="AS35" s="217"/>
      <c r="AT35" s="52"/>
      <c r="AU35" s="103"/>
    </row>
    <row r="36" spans="1:47" collapsed="1" x14ac:dyDescent="0.2">
      <c r="A36" s="40">
        <v>7</v>
      </c>
      <c r="B36" s="45" t="s">
        <v>4</v>
      </c>
      <c r="C36" s="191">
        <f t="shared" ref="C36:H36" si="6">SUM(C34:C35)</f>
        <v>1256169</v>
      </c>
      <c r="D36" s="191">
        <f t="shared" si="6"/>
        <v>865766.28</v>
      </c>
      <c r="E36" s="191">
        <f t="shared" si="6"/>
        <v>0</v>
      </c>
      <c r="F36" s="191">
        <f t="shared" si="6"/>
        <v>0</v>
      </c>
      <c r="G36" s="191">
        <f t="shared" si="6"/>
        <v>0</v>
      </c>
      <c r="H36" s="191">
        <f t="shared" si="6"/>
        <v>0</v>
      </c>
      <c r="I36" s="191">
        <f>SUM(C36:H36)</f>
        <v>2121935.2800000003</v>
      </c>
      <c r="J36" s="34"/>
      <c r="K36" s="89"/>
      <c r="L36" s="207">
        <f>C36/I36</f>
        <v>0.59199213653679383</v>
      </c>
      <c r="M36" s="207">
        <f>D36/I36</f>
        <v>0.40800786346320606</v>
      </c>
      <c r="N36" s="207">
        <f>E36/I36</f>
        <v>0</v>
      </c>
      <c r="O36" s="207">
        <f>F36/I36</f>
        <v>0</v>
      </c>
      <c r="P36" s="207">
        <f>G36/I36</f>
        <v>0</v>
      </c>
      <c r="Q36" s="207">
        <f>H36/I36</f>
        <v>0</v>
      </c>
      <c r="R36" s="52"/>
      <c r="S36" s="170">
        <v>1468428</v>
      </c>
      <c r="T36" s="170">
        <f>107286+197861+167674+1574</f>
        <v>474395</v>
      </c>
      <c r="U36" s="171">
        <v>0</v>
      </c>
      <c r="V36" s="171">
        <v>11010.3</v>
      </c>
      <c r="W36" s="171">
        <v>894</v>
      </c>
      <c r="X36" s="171">
        <v>12800</v>
      </c>
      <c r="Y36" s="171">
        <v>4651</v>
      </c>
      <c r="Z36" s="171">
        <v>10220</v>
      </c>
      <c r="AA36" s="171">
        <v>3322</v>
      </c>
      <c r="AB36" s="171">
        <v>59640.63</v>
      </c>
      <c r="AC36" s="171">
        <v>22383.8</v>
      </c>
      <c r="AD36" s="171">
        <v>0</v>
      </c>
      <c r="AE36" s="171">
        <f>7506.14+6000+971+5000+12319.04+9490</f>
        <v>41286.18</v>
      </c>
      <c r="AF36" s="172">
        <f>SUM(S36:AE36)</f>
        <v>2109030.91</v>
      </c>
      <c r="AG36" s="89"/>
      <c r="AH36" s="207">
        <f>(S36+T36)/AF36</f>
        <v>0.92119228352134486</v>
      </c>
      <c r="AI36" s="207">
        <f>U36/AF36</f>
        <v>0</v>
      </c>
      <c r="AJ36" s="207">
        <f>V36/AF36</f>
        <v>5.2205493754475122E-3</v>
      </c>
      <c r="AK36" s="207">
        <f>W36/AF36</f>
        <v>4.2389136914072062E-4</v>
      </c>
      <c r="AL36" s="207">
        <f>X36/AF36</f>
        <v>6.0691381711423086E-3</v>
      </c>
      <c r="AM36" s="207">
        <f>Y36/AF36</f>
        <v>2.2052782526549124E-3</v>
      </c>
      <c r="AN36" s="207">
        <f>Z36/AF36</f>
        <v>4.8458275085214372E-3</v>
      </c>
      <c r="AO36" s="207">
        <f>AA36/AF36</f>
        <v>1.5751310159792774E-3</v>
      </c>
      <c r="AP36" s="207">
        <f>AB36/AF36</f>
        <v>2.8278689381560553E-2</v>
      </c>
      <c r="AQ36" s="207">
        <f>AC36/AF36</f>
        <v>1.0613310546501187E-2</v>
      </c>
      <c r="AR36" s="207">
        <f>AD36/AF36</f>
        <v>0</v>
      </c>
      <c r="AS36" s="207">
        <f>AE36/AF36</f>
        <v>1.9575900857707201E-2</v>
      </c>
      <c r="AT36" s="89"/>
      <c r="AU36" s="124">
        <f>I36-AF36</f>
        <v>12904.370000000112</v>
      </c>
    </row>
    <row r="37" spans="1:47" s="5" customFormat="1" x14ac:dyDescent="0.2">
      <c r="A37" s="91"/>
      <c r="B37" s="26"/>
      <c r="C37" s="30"/>
      <c r="D37" s="30"/>
      <c r="E37" s="30"/>
      <c r="F37" s="30"/>
      <c r="G37" s="30"/>
      <c r="H37" s="30"/>
      <c r="I37" s="30"/>
      <c r="J37" s="30"/>
      <c r="K37" s="52"/>
      <c r="L37" s="218"/>
      <c r="M37" s="218"/>
      <c r="N37" s="218"/>
      <c r="O37" s="218"/>
      <c r="P37" s="218"/>
      <c r="Q37" s="218"/>
      <c r="R37" s="89"/>
      <c r="S37" s="116"/>
      <c r="T37" s="116"/>
      <c r="U37" s="116"/>
      <c r="V37" s="116"/>
      <c r="W37" s="116"/>
      <c r="X37" s="116"/>
      <c r="Y37" s="116"/>
      <c r="Z37" s="116"/>
      <c r="AA37" s="116"/>
      <c r="AB37" s="116"/>
      <c r="AC37" s="116"/>
      <c r="AD37" s="116"/>
      <c r="AE37" s="116"/>
      <c r="AF37" s="116"/>
      <c r="AG37" s="52"/>
      <c r="AH37" s="116"/>
      <c r="AI37" s="116"/>
      <c r="AJ37" s="116"/>
      <c r="AK37" s="116"/>
      <c r="AL37" s="116"/>
      <c r="AM37" s="116"/>
      <c r="AN37" s="116"/>
      <c r="AO37" s="116"/>
      <c r="AP37" s="116"/>
      <c r="AQ37" s="116"/>
      <c r="AR37" s="116"/>
      <c r="AS37" s="116"/>
      <c r="AT37" s="52"/>
      <c r="AU37" s="105"/>
    </row>
    <row r="38" spans="1:47" hidden="1" outlineLevel="1" x14ac:dyDescent="0.2">
      <c r="A38" s="88">
        <v>8</v>
      </c>
      <c r="B38" s="32" t="s">
        <v>113</v>
      </c>
      <c r="C38" s="189">
        <f>'[8]Abbeville Revenue'!$B$11</f>
        <v>26790</v>
      </c>
      <c r="D38" s="189">
        <f>'[8]Abbeville Revenue'!$B$3</f>
        <v>64788.05</v>
      </c>
      <c r="E38" s="189">
        <v>0</v>
      </c>
      <c r="F38" s="189">
        <v>0</v>
      </c>
      <c r="G38" s="189">
        <v>0</v>
      </c>
      <c r="H38" s="189">
        <v>0</v>
      </c>
      <c r="I38" s="189">
        <f>SUM(C38:H38)</f>
        <v>91578.05</v>
      </c>
      <c r="J38" s="214"/>
      <c r="K38" s="50"/>
      <c r="L38" s="207"/>
      <c r="M38" s="207"/>
      <c r="N38" s="207"/>
      <c r="O38" s="207"/>
      <c r="P38" s="207"/>
      <c r="Q38" s="207"/>
      <c r="R38" s="52"/>
      <c r="S38" s="166">
        <v>0</v>
      </c>
      <c r="T38" s="166">
        <v>0</v>
      </c>
      <c r="U38" s="166">
        <v>0</v>
      </c>
      <c r="V38" s="166">
        <v>0</v>
      </c>
      <c r="W38" s="166">
        <v>0</v>
      </c>
      <c r="X38" s="166">
        <v>0</v>
      </c>
      <c r="Y38" s="166">
        <v>0</v>
      </c>
      <c r="Z38" s="166">
        <v>0</v>
      </c>
      <c r="AA38" s="166">
        <v>0</v>
      </c>
      <c r="AB38" s="166">
        <v>0</v>
      </c>
      <c r="AC38" s="166">
        <v>0</v>
      </c>
      <c r="AD38" s="166">
        <v>0</v>
      </c>
      <c r="AE38" s="166">
        <v>0</v>
      </c>
      <c r="AF38" s="167">
        <f>SUM(S38:AE38)</f>
        <v>0</v>
      </c>
      <c r="AG38" s="50"/>
      <c r="AH38" s="207"/>
      <c r="AI38" s="207"/>
      <c r="AJ38" s="207"/>
      <c r="AK38" s="207"/>
      <c r="AL38" s="207"/>
      <c r="AM38" s="207"/>
      <c r="AN38" s="207"/>
      <c r="AO38" s="207"/>
      <c r="AP38" s="207"/>
      <c r="AQ38" s="207"/>
      <c r="AR38" s="207"/>
      <c r="AS38" s="207"/>
      <c r="AT38" s="50"/>
      <c r="AU38" s="98"/>
    </row>
    <row r="39" spans="1:47" hidden="1" outlineLevel="1" x14ac:dyDescent="0.2">
      <c r="A39" s="88">
        <v>8</v>
      </c>
      <c r="B39" s="32" t="s">
        <v>114</v>
      </c>
      <c r="C39" s="189">
        <f>'[8]Greenwood Revenue'!$B$11</f>
        <v>149000</v>
      </c>
      <c r="D39" s="189">
        <f>'[8]Greenwood Revenue'!$B$3</f>
        <v>177566.09999999998</v>
      </c>
      <c r="E39" s="189">
        <v>0</v>
      </c>
      <c r="F39" s="189">
        <v>0</v>
      </c>
      <c r="G39" s="189">
        <v>0</v>
      </c>
      <c r="H39" s="189">
        <v>0</v>
      </c>
      <c r="I39" s="189">
        <f>SUM(C39:H39)</f>
        <v>326566.09999999998</v>
      </c>
      <c r="J39" s="214"/>
      <c r="K39" s="50"/>
      <c r="L39" s="207"/>
      <c r="M39" s="207"/>
      <c r="N39" s="207"/>
      <c r="O39" s="207"/>
      <c r="P39" s="207"/>
      <c r="Q39" s="207"/>
      <c r="R39" s="50"/>
      <c r="S39" s="166">
        <v>0</v>
      </c>
      <c r="T39" s="166">
        <v>0</v>
      </c>
      <c r="U39" s="166">
        <v>0</v>
      </c>
      <c r="V39" s="166">
        <v>0</v>
      </c>
      <c r="W39" s="166">
        <v>0</v>
      </c>
      <c r="X39" s="166">
        <v>0</v>
      </c>
      <c r="Y39" s="166">
        <v>0</v>
      </c>
      <c r="Z39" s="166">
        <v>0</v>
      </c>
      <c r="AA39" s="166">
        <v>0</v>
      </c>
      <c r="AB39" s="166">
        <v>0</v>
      </c>
      <c r="AC39" s="166">
        <v>0</v>
      </c>
      <c r="AD39" s="166">
        <v>0</v>
      </c>
      <c r="AE39" s="166">
        <v>0</v>
      </c>
      <c r="AF39" s="167">
        <f>SUM(S39:AE39)</f>
        <v>0</v>
      </c>
      <c r="AG39" s="50"/>
      <c r="AH39" s="207"/>
      <c r="AI39" s="207"/>
      <c r="AJ39" s="207"/>
      <c r="AK39" s="207"/>
      <c r="AL39" s="207"/>
      <c r="AM39" s="207"/>
      <c r="AN39" s="207"/>
      <c r="AO39" s="207"/>
      <c r="AP39" s="207"/>
      <c r="AQ39" s="207"/>
      <c r="AR39" s="207"/>
      <c r="AS39" s="207"/>
      <c r="AT39" s="50"/>
      <c r="AU39" s="98"/>
    </row>
    <row r="40" spans="1:47" hidden="1" outlineLevel="1" x14ac:dyDescent="0.2">
      <c r="A40" s="88">
        <v>8</v>
      </c>
      <c r="B40" s="32" t="s">
        <v>115</v>
      </c>
      <c r="C40" s="189">
        <f>'[8]Laurens Revenue'!$B$11</f>
        <v>86000</v>
      </c>
      <c r="D40" s="189">
        <f>'[8]Laurens Revenue'!$B$3</f>
        <v>169602.96</v>
      </c>
      <c r="E40" s="189">
        <v>0</v>
      </c>
      <c r="F40" s="189">
        <v>0</v>
      </c>
      <c r="G40" s="189">
        <v>0</v>
      </c>
      <c r="H40" s="189">
        <v>0</v>
      </c>
      <c r="I40" s="189">
        <f>SUM(C40:H40)</f>
        <v>255602.96</v>
      </c>
      <c r="J40" s="214"/>
      <c r="K40" s="50"/>
      <c r="L40" s="207"/>
      <c r="M40" s="207"/>
      <c r="N40" s="207"/>
      <c r="O40" s="207"/>
      <c r="P40" s="207"/>
      <c r="Q40" s="207"/>
      <c r="R40" s="50"/>
      <c r="S40" s="166">
        <v>0</v>
      </c>
      <c r="T40" s="166">
        <v>0</v>
      </c>
      <c r="U40" s="166">
        <v>0</v>
      </c>
      <c r="V40" s="166">
        <v>0</v>
      </c>
      <c r="W40" s="166">
        <v>0</v>
      </c>
      <c r="X40" s="166">
        <v>0</v>
      </c>
      <c r="Y40" s="166">
        <v>0</v>
      </c>
      <c r="Z40" s="166">
        <v>0</v>
      </c>
      <c r="AA40" s="166">
        <v>0</v>
      </c>
      <c r="AB40" s="166">
        <v>0</v>
      </c>
      <c r="AC40" s="166">
        <v>0</v>
      </c>
      <c r="AD40" s="166">
        <v>0</v>
      </c>
      <c r="AE40" s="166">
        <v>0</v>
      </c>
      <c r="AF40" s="167">
        <f>SUM(S40:AE40)</f>
        <v>0</v>
      </c>
      <c r="AG40" s="50"/>
      <c r="AH40" s="207"/>
      <c r="AI40" s="207"/>
      <c r="AJ40" s="207"/>
      <c r="AK40" s="207"/>
      <c r="AL40" s="207"/>
      <c r="AM40" s="207"/>
      <c r="AN40" s="207"/>
      <c r="AO40" s="207"/>
      <c r="AP40" s="207"/>
      <c r="AQ40" s="207"/>
      <c r="AR40" s="207"/>
      <c r="AS40" s="207"/>
      <c r="AT40" s="50"/>
      <c r="AU40" s="98"/>
    </row>
    <row r="41" spans="1:47" ht="13.5" hidden="1" outlineLevel="1" thickBot="1" x14ac:dyDescent="0.25">
      <c r="A41" s="88">
        <v>8</v>
      </c>
      <c r="B41" s="32" t="s">
        <v>116</v>
      </c>
      <c r="C41" s="190">
        <f>'[8]Newberry Revenue'!$B$11</f>
        <v>70475</v>
      </c>
      <c r="D41" s="190">
        <f>'[8]Newberry Revenue'!$B$3</f>
        <v>95607.999999999985</v>
      </c>
      <c r="E41" s="190">
        <v>0</v>
      </c>
      <c r="F41" s="190">
        <v>0</v>
      </c>
      <c r="G41" s="190">
        <v>0</v>
      </c>
      <c r="H41" s="190">
        <v>0</v>
      </c>
      <c r="I41" s="190">
        <f>SUM(C41:H41)</f>
        <v>166083</v>
      </c>
      <c r="J41" s="214"/>
      <c r="K41" s="50"/>
      <c r="L41" s="207"/>
      <c r="M41" s="207"/>
      <c r="N41" s="207"/>
      <c r="O41" s="207"/>
      <c r="P41" s="207"/>
      <c r="Q41" s="207"/>
      <c r="R41" s="50"/>
      <c r="S41" s="168">
        <v>0</v>
      </c>
      <c r="T41" s="168">
        <v>0</v>
      </c>
      <c r="U41" s="168">
        <v>0</v>
      </c>
      <c r="V41" s="168">
        <v>0</v>
      </c>
      <c r="W41" s="168">
        <v>0</v>
      </c>
      <c r="X41" s="168">
        <v>0</v>
      </c>
      <c r="Y41" s="168">
        <v>0</v>
      </c>
      <c r="Z41" s="168">
        <v>0</v>
      </c>
      <c r="AA41" s="168">
        <v>0</v>
      </c>
      <c r="AB41" s="168">
        <v>0</v>
      </c>
      <c r="AC41" s="168">
        <v>0</v>
      </c>
      <c r="AD41" s="168">
        <v>0</v>
      </c>
      <c r="AE41" s="168">
        <v>0</v>
      </c>
      <c r="AF41" s="169">
        <f>SUM(S41:AE41)</f>
        <v>0</v>
      </c>
      <c r="AG41" s="50"/>
      <c r="AH41" s="207"/>
      <c r="AI41" s="207"/>
      <c r="AJ41" s="207"/>
      <c r="AK41" s="207"/>
      <c r="AL41" s="207"/>
      <c r="AM41" s="207"/>
      <c r="AN41" s="207"/>
      <c r="AO41" s="207"/>
      <c r="AP41" s="207"/>
      <c r="AQ41" s="207"/>
      <c r="AR41" s="207"/>
      <c r="AS41" s="207"/>
      <c r="AT41" s="50"/>
      <c r="AU41" s="103"/>
    </row>
    <row r="42" spans="1:47" collapsed="1" x14ac:dyDescent="0.2">
      <c r="A42" s="40">
        <v>8</v>
      </c>
      <c r="B42" s="45" t="s">
        <v>4</v>
      </c>
      <c r="C42" s="191">
        <f t="shared" ref="C42:H42" si="7">SUM(C38:C41)</f>
        <v>332265</v>
      </c>
      <c r="D42" s="191">
        <f t="shared" si="7"/>
        <v>507565.11</v>
      </c>
      <c r="E42" s="191">
        <f t="shared" si="7"/>
        <v>0</v>
      </c>
      <c r="F42" s="191">
        <f t="shared" si="7"/>
        <v>0</v>
      </c>
      <c r="G42" s="191">
        <f t="shared" si="7"/>
        <v>0</v>
      </c>
      <c r="H42" s="191">
        <f t="shared" si="7"/>
        <v>0</v>
      </c>
      <c r="I42" s="191">
        <f>SUM(C42:H42)</f>
        <v>839830.11</v>
      </c>
      <c r="J42" s="216"/>
      <c r="K42" s="93"/>
      <c r="L42" s="207">
        <f>C42/I42</f>
        <v>0.3956335883218095</v>
      </c>
      <c r="M42" s="207">
        <f>D42/I42</f>
        <v>0.6043664116781905</v>
      </c>
      <c r="N42" s="207">
        <f>E42/I42</f>
        <v>0</v>
      </c>
      <c r="O42" s="207">
        <f>F42/I42</f>
        <v>0</v>
      </c>
      <c r="P42" s="207">
        <f>G42/I42</f>
        <v>0</v>
      </c>
      <c r="Q42" s="207">
        <f>H42/I42</f>
        <v>0</v>
      </c>
      <c r="R42" s="50"/>
      <c r="S42" s="170">
        <v>494813.47</v>
      </c>
      <c r="T42" s="170">
        <f>27751.53+40009.1+41309.26+1047.73</f>
        <v>110117.62000000001</v>
      </c>
      <c r="U42" s="171">
        <v>0</v>
      </c>
      <c r="V42" s="171">
        <v>18603.939999999999</v>
      </c>
      <c r="W42" s="171">
        <v>3069.01</v>
      </c>
      <c r="X42" s="171">
        <v>2293</v>
      </c>
      <c r="Y42" s="171">
        <v>0</v>
      </c>
      <c r="Z42" s="171">
        <v>4221</v>
      </c>
      <c r="AA42" s="171">
        <v>3569.82</v>
      </c>
      <c r="AB42" s="171">
        <v>34307.01</v>
      </c>
      <c r="AC42" s="171">
        <v>16015.18</v>
      </c>
      <c r="AD42" s="171">
        <v>507</v>
      </c>
      <c r="AE42" s="171">
        <f>11574.94+6936.05+2116.19+4987.15+2585</f>
        <v>28199.33</v>
      </c>
      <c r="AF42" s="172">
        <f>SUM(S42:AE42)</f>
        <v>715716.37999999989</v>
      </c>
      <c r="AG42" s="93"/>
      <c r="AH42" s="207">
        <f>(S42+T42)/AF42</f>
        <v>0.84521062658926438</v>
      </c>
      <c r="AI42" s="207">
        <f>U42/AF42</f>
        <v>0</v>
      </c>
      <c r="AJ42" s="207">
        <f>V42/AF42</f>
        <v>2.5993452881433288E-2</v>
      </c>
      <c r="AK42" s="207">
        <f>W42/AF42</f>
        <v>4.2880253767560838E-3</v>
      </c>
      <c r="AL42" s="207">
        <f>X42/AF42</f>
        <v>3.2037830404272713E-3</v>
      </c>
      <c r="AM42" s="207">
        <f>Y42/AF42</f>
        <v>0</v>
      </c>
      <c r="AN42" s="207">
        <f>Z42/AF42</f>
        <v>5.8975875332069397E-3</v>
      </c>
      <c r="AO42" s="207">
        <f>AA42/AF42</f>
        <v>4.9877578601736075E-3</v>
      </c>
      <c r="AP42" s="207">
        <f>AB42/AF42</f>
        <v>4.793380584638849E-2</v>
      </c>
      <c r="AQ42" s="207">
        <f>AC42/AF42</f>
        <v>2.2376433525246413E-2</v>
      </c>
      <c r="AR42" s="207">
        <f>AD42/AF42</f>
        <v>7.0838116070502687E-4</v>
      </c>
      <c r="AS42" s="207">
        <f>AE42/AF42</f>
        <v>3.9400146186398595E-2</v>
      </c>
      <c r="AT42" s="93"/>
      <c r="AU42" s="124">
        <f>I42-AF42</f>
        <v>124113.7300000001</v>
      </c>
    </row>
    <row r="43" spans="1:47" s="5" customFormat="1" x14ac:dyDescent="0.2">
      <c r="A43" s="91"/>
      <c r="B43" s="26"/>
      <c r="C43" s="30"/>
      <c r="D43" s="30"/>
      <c r="E43" s="30"/>
      <c r="F43" s="30"/>
      <c r="G43" s="30"/>
      <c r="H43" s="30"/>
      <c r="I43" s="30"/>
      <c r="J43" s="30"/>
      <c r="K43" s="52"/>
      <c r="L43" s="218"/>
      <c r="M43" s="218"/>
      <c r="N43" s="218"/>
      <c r="O43" s="218"/>
      <c r="P43" s="218"/>
      <c r="Q43" s="218"/>
      <c r="R43" s="89"/>
      <c r="S43" s="116"/>
      <c r="T43" s="116"/>
      <c r="U43" s="116"/>
      <c r="V43" s="116"/>
      <c r="W43" s="116"/>
      <c r="X43" s="116"/>
      <c r="Y43" s="116"/>
      <c r="Z43" s="116"/>
      <c r="AA43" s="116"/>
      <c r="AB43" s="116"/>
      <c r="AC43" s="116"/>
      <c r="AD43" s="116"/>
      <c r="AE43" s="116"/>
      <c r="AF43" s="116"/>
      <c r="AG43" s="52"/>
      <c r="AH43" s="116"/>
      <c r="AI43" s="116"/>
      <c r="AJ43" s="116"/>
      <c r="AK43" s="116"/>
      <c r="AL43" s="116"/>
      <c r="AM43" s="116"/>
      <c r="AN43" s="116"/>
      <c r="AO43" s="116"/>
      <c r="AP43" s="116"/>
      <c r="AQ43" s="116"/>
      <c r="AR43" s="116"/>
      <c r="AS43" s="116"/>
      <c r="AT43" s="52"/>
      <c r="AU43" s="105"/>
    </row>
    <row r="44" spans="1:47" s="29" customFormat="1" hidden="1" outlineLevel="1" x14ac:dyDescent="0.2">
      <c r="A44" s="88">
        <v>9</v>
      </c>
      <c r="B44" s="32" t="s">
        <v>118</v>
      </c>
      <c r="C44" s="189">
        <f>'[9]Berkeley Revenue'!$B$11</f>
        <v>413139</v>
      </c>
      <c r="D44" s="189">
        <f>'[9]Berkeley Revenue'!$B$3</f>
        <v>453322.24000000005</v>
      </c>
      <c r="E44" s="189">
        <v>0</v>
      </c>
      <c r="F44" s="189">
        <v>0</v>
      </c>
      <c r="G44" s="189">
        <f>'[9]Berkeley Revenue'!$B$14</f>
        <v>87257.12</v>
      </c>
      <c r="H44" s="189">
        <v>0</v>
      </c>
      <c r="I44" s="189">
        <f>SUM(C44:H44)</f>
        <v>953718.36</v>
      </c>
      <c r="J44" s="215"/>
      <c r="K44" s="52"/>
      <c r="L44" s="217"/>
      <c r="M44" s="217"/>
      <c r="N44" s="217"/>
      <c r="O44" s="217"/>
      <c r="P44" s="217"/>
      <c r="Q44" s="217"/>
      <c r="R44" s="52"/>
      <c r="S44" s="166">
        <f>534162+26000</f>
        <v>560162</v>
      </c>
      <c r="T44" s="166">
        <v>197415</v>
      </c>
      <c r="U44" s="166">
        <v>19507</v>
      </c>
      <c r="V44" s="166">
        <v>575</v>
      </c>
      <c r="W44" s="166">
        <v>521</v>
      </c>
      <c r="X44" s="166">
        <v>29923</v>
      </c>
      <c r="Y44" s="166">
        <v>3195</v>
      </c>
      <c r="Z44" s="166">
        <v>7921</v>
      </c>
      <c r="AA44" s="166">
        <v>767</v>
      </c>
      <c r="AB44" s="166">
        <v>87669</v>
      </c>
      <c r="AC44" s="166">
        <v>7561</v>
      </c>
      <c r="AD44" s="166">
        <v>0</v>
      </c>
      <c r="AE44" s="166">
        <f>4221+19310+9641+3553</f>
        <v>36725</v>
      </c>
      <c r="AF44" s="167">
        <f>SUM(S44:AE44)</f>
        <v>951941</v>
      </c>
      <c r="AG44" s="52"/>
      <c r="AH44" s="217"/>
      <c r="AI44" s="217"/>
      <c r="AJ44" s="217"/>
      <c r="AK44" s="217"/>
      <c r="AL44" s="217"/>
      <c r="AM44" s="217"/>
      <c r="AN44" s="217"/>
      <c r="AO44" s="217"/>
      <c r="AP44" s="217"/>
      <c r="AQ44" s="217"/>
      <c r="AR44" s="217"/>
      <c r="AS44" s="217"/>
      <c r="AT44" s="52"/>
      <c r="AU44" s="98">
        <f>I44-AF44</f>
        <v>1777.359999999986</v>
      </c>
    </row>
    <row r="45" spans="1:47" s="29" customFormat="1" ht="13.5" hidden="1" outlineLevel="1" thickBot="1" x14ac:dyDescent="0.25">
      <c r="A45" s="88">
        <v>9</v>
      </c>
      <c r="B45" s="32" t="s">
        <v>119</v>
      </c>
      <c r="C45" s="190">
        <v>3097292</v>
      </c>
      <c r="D45" s="190">
        <v>892683.75</v>
      </c>
      <c r="E45" s="190">
        <v>0</v>
      </c>
      <c r="F45" s="190">
        <v>50000</v>
      </c>
      <c r="G45" s="190">
        <v>280899.56</v>
      </c>
      <c r="H45" s="190">
        <v>0</v>
      </c>
      <c r="I45" s="190">
        <f>SUM(C45:H45)</f>
        <v>4320875.3099999996</v>
      </c>
      <c r="J45" s="215"/>
      <c r="K45" s="52"/>
      <c r="L45" s="217"/>
      <c r="M45" s="217"/>
      <c r="N45" s="217"/>
      <c r="O45" s="217"/>
      <c r="P45" s="217"/>
      <c r="Q45" s="217"/>
      <c r="R45" s="52"/>
      <c r="S45" s="168">
        <v>2707141</v>
      </c>
      <c r="T45" s="168">
        <v>1052861</v>
      </c>
      <c r="U45" s="168">
        <v>8939</v>
      </c>
      <c r="V45" s="168">
        <v>15918</v>
      </c>
      <c r="W45" s="168">
        <v>9214</v>
      </c>
      <c r="X45" s="168">
        <v>0</v>
      </c>
      <c r="Y45" s="168">
        <v>0</v>
      </c>
      <c r="Z45" s="168">
        <v>38804</v>
      </c>
      <c r="AA45" s="168">
        <v>12955</v>
      </c>
      <c r="AB45" s="168">
        <v>341709</v>
      </c>
      <c r="AC45" s="168">
        <v>26054</v>
      </c>
      <c r="AD45" s="168">
        <v>19960</v>
      </c>
      <c r="AE45" s="168">
        <f>23235+48646+29948+18284</f>
        <v>120113</v>
      </c>
      <c r="AF45" s="169">
        <f>SUM(S45:AE45)</f>
        <v>4353668</v>
      </c>
      <c r="AG45" s="52"/>
      <c r="AH45" s="217"/>
      <c r="AI45" s="217"/>
      <c r="AJ45" s="217"/>
      <c r="AK45" s="217"/>
      <c r="AL45" s="217"/>
      <c r="AM45" s="217"/>
      <c r="AN45" s="217"/>
      <c r="AO45" s="217"/>
      <c r="AP45" s="217"/>
      <c r="AQ45" s="217"/>
      <c r="AR45" s="217"/>
      <c r="AS45" s="217"/>
      <c r="AT45" s="52"/>
      <c r="AU45" s="103">
        <f>I45-AF45</f>
        <v>-32792.69000000041</v>
      </c>
    </row>
    <row r="46" spans="1:47" collapsed="1" x14ac:dyDescent="0.2">
      <c r="A46" s="40">
        <v>9</v>
      </c>
      <c r="B46" s="45" t="s">
        <v>4</v>
      </c>
      <c r="C46" s="191">
        <f t="shared" ref="C46:I46" si="8">SUM(C44:C45)</f>
        <v>3510431</v>
      </c>
      <c r="D46" s="191">
        <f t="shared" si="8"/>
        <v>1346005.99</v>
      </c>
      <c r="E46" s="191">
        <f t="shared" si="8"/>
        <v>0</v>
      </c>
      <c r="F46" s="191">
        <f t="shared" si="8"/>
        <v>50000</v>
      </c>
      <c r="G46" s="191">
        <f t="shared" si="8"/>
        <v>368156.68</v>
      </c>
      <c r="H46" s="191">
        <f t="shared" si="8"/>
        <v>0</v>
      </c>
      <c r="I46" s="191">
        <f t="shared" si="8"/>
        <v>5274593.67</v>
      </c>
      <c r="J46" s="216"/>
      <c r="K46" s="93"/>
      <c r="L46" s="207">
        <f>C46/I46</f>
        <v>0.66553581557686126</v>
      </c>
      <c r="M46" s="207">
        <f>D46/I46</f>
        <v>0.25518666919417887</v>
      </c>
      <c r="N46" s="207">
        <f>E46/I46</f>
        <v>0</v>
      </c>
      <c r="O46" s="207">
        <f>F46/I46</f>
        <v>9.4794031783684302E-3</v>
      </c>
      <c r="P46" s="207">
        <f>G46/I46</f>
        <v>6.9798112050591374E-2</v>
      </c>
      <c r="Q46" s="207">
        <f>H46/I46</f>
        <v>0</v>
      </c>
      <c r="R46" s="52"/>
      <c r="S46" s="170">
        <f>SUM(S44:S45)</f>
        <v>3267303</v>
      </c>
      <c r="T46" s="170">
        <f>SUM(T44:T45)</f>
        <v>1250276</v>
      </c>
      <c r="U46" s="170">
        <f>SUM(U44:U45)</f>
        <v>28446</v>
      </c>
      <c r="V46" s="170">
        <f t="shared" ref="V46:AE46" si="9">SUM(V44:V45)</f>
        <v>16493</v>
      </c>
      <c r="W46" s="170">
        <f t="shared" si="9"/>
        <v>9735</v>
      </c>
      <c r="X46" s="170">
        <f t="shared" si="9"/>
        <v>29923</v>
      </c>
      <c r="Y46" s="170">
        <f t="shared" si="9"/>
        <v>3195</v>
      </c>
      <c r="Z46" s="170">
        <f t="shared" si="9"/>
        <v>46725</v>
      </c>
      <c r="AA46" s="170">
        <f t="shared" si="9"/>
        <v>13722</v>
      </c>
      <c r="AB46" s="170">
        <f t="shared" si="9"/>
        <v>429378</v>
      </c>
      <c r="AC46" s="170">
        <f t="shared" si="9"/>
        <v>33615</v>
      </c>
      <c r="AD46" s="170">
        <f t="shared" si="9"/>
        <v>19960</v>
      </c>
      <c r="AE46" s="170">
        <f t="shared" si="9"/>
        <v>156838</v>
      </c>
      <c r="AF46" s="172">
        <f>SUM(S46:AE46)</f>
        <v>5305609</v>
      </c>
      <c r="AG46" s="93"/>
      <c r="AH46" s="207">
        <f>(S46+T46)/AF46</f>
        <v>0.85147228150434762</v>
      </c>
      <c r="AI46" s="207">
        <f>U46/AF46</f>
        <v>5.3614957302733765E-3</v>
      </c>
      <c r="AJ46" s="207">
        <f>V46/AF46</f>
        <v>3.1085969584264501E-3</v>
      </c>
      <c r="AK46" s="207">
        <f>W46/AF46</f>
        <v>1.8348506269497055E-3</v>
      </c>
      <c r="AL46" s="207">
        <f>X46/AF46</f>
        <v>5.6398803605768912E-3</v>
      </c>
      <c r="AM46" s="207">
        <f>Y46/AF46</f>
        <v>6.0219288681092025E-4</v>
      </c>
      <c r="AN46" s="207">
        <f>Z46/AF46</f>
        <v>8.8067175700282472E-3</v>
      </c>
      <c r="AO46" s="207">
        <f>AA46/AF46</f>
        <v>2.5863194969700932E-3</v>
      </c>
      <c r="AP46" s="207">
        <f>AB46/AF46</f>
        <v>8.0929069594084302E-2</v>
      </c>
      <c r="AQ46" s="207">
        <f>AC46/AF46</f>
        <v>6.3357476964472879E-3</v>
      </c>
      <c r="AR46" s="207">
        <f>AD46/AF46</f>
        <v>3.7620563445214302E-3</v>
      </c>
      <c r="AS46" s="207">
        <f>AE46/AF46</f>
        <v>2.9560791230563731E-2</v>
      </c>
      <c r="AT46" s="93"/>
      <c r="AU46" s="124">
        <f>I46-AF46</f>
        <v>-31015.330000000075</v>
      </c>
    </row>
    <row r="47" spans="1:47" x14ac:dyDescent="0.2">
      <c r="A47" s="90"/>
      <c r="B47" s="72"/>
      <c r="C47" s="30"/>
      <c r="D47" s="30"/>
      <c r="E47" s="30"/>
      <c r="F47" s="30"/>
      <c r="G47" s="30"/>
      <c r="H47" s="30"/>
      <c r="I47" s="30"/>
      <c r="J47" s="30"/>
      <c r="K47" s="52"/>
      <c r="L47" s="218"/>
      <c r="M47" s="218"/>
      <c r="N47" s="218"/>
      <c r="O47" s="218"/>
      <c r="P47" s="218"/>
      <c r="Q47" s="218"/>
      <c r="R47" s="89"/>
      <c r="S47" s="116"/>
      <c r="T47" s="116"/>
      <c r="U47" s="116"/>
      <c r="V47" s="116"/>
      <c r="W47" s="116"/>
      <c r="X47" s="116"/>
      <c r="Y47" s="116"/>
      <c r="Z47" s="116"/>
      <c r="AA47" s="116"/>
      <c r="AB47" s="116"/>
      <c r="AC47" s="116"/>
      <c r="AD47" s="116"/>
      <c r="AE47" s="116"/>
      <c r="AF47" s="116"/>
      <c r="AG47" s="52"/>
      <c r="AH47" s="116"/>
      <c r="AI47" s="116"/>
      <c r="AJ47" s="116"/>
      <c r="AK47" s="116"/>
      <c r="AL47" s="116"/>
      <c r="AM47" s="116"/>
      <c r="AN47" s="116"/>
      <c r="AO47" s="116"/>
      <c r="AP47" s="116"/>
      <c r="AQ47" s="116"/>
      <c r="AR47" s="116"/>
      <c r="AS47" s="116"/>
      <c r="AT47" s="52"/>
      <c r="AU47" s="105"/>
    </row>
    <row r="48" spans="1:47" hidden="1" outlineLevel="1" x14ac:dyDescent="0.2">
      <c r="A48" s="88">
        <v>10</v>
      </c>
      <c r="B48" s="32" t="s">
        <v>120</v>
      </c>
      <c r="C48" s="189">
        <f>'[10]Anderson Revenue'!$B$11</f>
        <v>338775</v>
      </c>
      <c r="D48" s="189">
        <f>'[10]Anderson Revenue'!$B$3</f>
        <v>476984.64</v>
      </c>
      <c r="E48" s="189">
        <v>0</v>
      </c>
      <c r="F48" s="189">
        <v>0</v>
      </c>
      <c r="G48" s="189">
        <v>0</v>
      </c>
      <c r="H48" s="189">
        <v>0</v>
      </c>
      <c r="I48" s="189">
        <f>SUM(C48:H48)</f>
        <v>815759.64</v>
      </c>
      <c r="J48" s="214"/>
      <c r="K48" s="50"/>
      <c r="L48" s="207"/>
      <c r="M48" s="207"/>
      <c r="N48" s="207"/>
      <c r="O48" s="207"/>
      <c r="P48" s="207"/>
      <c r="Q48" s="207"/>
      <c r="R48" s="52"/>
      <c r="S48" s="166">
        <v>0</v>
      </c>
      <c r="T48" s="166">
        <v>0</v>
      </c>
      <c r="U48" s="166">
        <v>0</v>
      </c>
      <c r="V48" s="166">
        <v>0</v>
      </c>
      <c r="W48" s="166">
        <v>0</v>
      </c>
      <c r="X48" s="166">
        <v>0</v>
      </c>
      <c r="Y48" s="166">
        <v>0</v>
      </c>
      <c r="Z48" s="166">
        <v>0</v>
      </c>
      <c r="AA48" s="166">
        <v>0</v>
      </c>
      <c r="AB48" s="166">
        <v>0</v>
      </c>
      <c r="AC48" s="166">
        <v>0</v>
      </c>
      <c r="AD48" s="166">
        <v>0</v>
      </c>
      <c r="AE48" s="166">
        <v>0</v>
      </c>
      <c r="AF48" s="167">
        <f>SUM(S48:AE48)</f>
        <v>0</v>
      </c>
      <c r="AG48" s="50"/>
      <c r="AH48" s="207"/>
      <c r="AI48" s="207"/>
      <c r="AJ48" s="207"/>
      <c r="AK48" s="207"/>
      <c r="AL48" s="207"/>
      <c r="AM48" s="207"/>
      <c r="AN48" s="207"/>
      <c r="AO48" s="207"/>
      <c r="AP48" s="207"/>
      <c r="AQ48" s="207"/>
      <c r="AR48" s="207"/>
      <c r="AS48" s="207"/>
      <c r="AT48" s="50"/>
      <c r="AU48" s="98"/>
    </row>
    <row r="49" spans="1:47" ht="13.5" hidden="1" outlineLevel="1" thickBot="1" x14ac:dyDescent="0.25">
      <c r="A49" s="88">
        <v>10</v>
      </c>
      <c r="B49" s="32" t="s">
        <v>121</v>
      </c>
      <c r="C49" s="190">
        <f>'[10]Oconee Revenue '!$B$11</f>
        <v>200000</v>
      </c>
      <c r="D49" s="190">
        <f>'[10]Oconee Revenue '!$B$3</f>
        <v>189322.11</v>
      </c>
      <c r="E49" s="190">
        <v>0</v>
      </c>
      <c r="F49" s="190">
        <v>0</v>
      </c>
      <c r="G49" s="190">
        <v>0</v>
      </c>
      <c r="H49" s="190">
        <v>0</v>
      </c>
      <c r="I49" s="190">
        <f>SUM(C49:H49)</f>
        <v>389322.11</v>
      </c>
      <c r="J49" s="214"/>
      <c r="K49" s="50"/>
      <c r="L49" s="207"/>
      <c r="M49" s="207"/>
      <c r="N49" s="207"/>
      <c r="O49" s="207"/>
      <c r="P49" s="207"/>
      <c r="Q49" s="207"/>
      <c r="R49" s="50"/>
      <c r="S49" s="168">
        <v>0</v>
      </c>
      <c r="T49" s="168">
        <v>0</v>
      </c>
      <c r="U49" s="168">
        <v>0</v>
      </c>
      <c r="V49" s="168">
        <v>0</v>
      </c>
      <c r="W49" s="168">
        <v>0</v>
      </c>
      <c r="X49" s="168">
        <v>0</v>
      </c>
      <c r="Y49" s="168">
        <v>0</v>
      </c>
      <c r="Z49" s="168">
        <v>0</v>
      </c>
      <c r="AA49" s="168">
        <v>0</v>
      </c>
      <c r="AB49" s="168">
        <v>0</v>
      </c>
      <c r="AC49" s="168">
        <v>0</v>
      </c>
      <c r="AD49" s="168">
        <v>0</v>
      </c>
      <c r="AE49" s="168">
        <v>0</v>
      </c>
      <c r="AF49" s="169">
        <f>SUM(S49:AE49)</f>
        <v>0</v>
      </c>
      <c r="AG49" s="50"/>
      <c r="AH49" s="207"/>
      <c r="AI49" s="207"/>
      <c r="AJ49" s="207"/>
      <c r="AK49" s="207"/>
      <c r="AL49" s="207"/>
      <c r="AM49" s="207"/>
      <c r="AN49" s="207"/>
      <c r="AO49" s="207"/>
      <c r="AP49" s="207"/>
      <c r="AQ49" s="207"/>
      <c r="AR49" s="207"/>
      <c r="AS49" s="207"/>
      <c r="AT49" s="50"/>
      <c r="AU49" s="103"/>
    </row>
    <row r="50" spans="1:47" collapsed="1" x14ac:dyDescent="0.2">
      <c r="A50" s="40">
        <v>10</v>
      </c>
      <c r="B50" s="45" t="s">
        <v>4</v>
      </c>
      <c r="C50" s="191">
        <f t="shared" ref="C50:H50" si="10">SUM(C48:C49)</f>
        <v>538775</v>
      </c>
      <c r="D50" s="191">
        <f t="shared" si="10"/>
        <v>666306.75</v>
      </c>
      <c r="E50" s="191">
        <f t="shared" si="10"/>
        <v>0</v>
      </c>
      <c r="F50" s="191">
        <f t="shared" si="10"/>
        <v>0</v>
      </c>
      <c r="G50" s="191">
        <f t="shared" si="10"/>
        <v>0</v>
      </c>
      <c r="H50" s="191">
        <f t="shared" si="10"/>
        <v>0</v>
      </c>
      <c r="I50" s="191">
        <f>SUM(C50:H50)</f>
        <v>1205081.75</v>
      </c>
      <c r="J50" s="216"/>
      <c r="K50" s="93"/>
      <c r="L50" s="207">
        <f>C50/I50</f>
        <v>0.44708585122959499</v>
      </c>
      <c r="M50" s="207">
        <f>D50/I50</f>
        <v>0.55291414877040501</v>
      </c>
      <c r="N50" s="207">
        <f>E50/I50</f>
        <v>0</v>
      </c>
      <c r="O50" s="207">
        <f>F50/I50</f>
        <v>0</v>
      </c>
      <c r="P50" s="207">
        <f>G50/I50</f>
        <v>0</v>
      </c>
      <c r="Q50" s="207">
        <f>H50/I50</f>
        <v>0</v>
      </c>
      <c r="R50" s="50"/>
      <c r="S50" s="171">
        <v>760722.64</v>
      </c>
      <c r="T50" s="171">
        <f>56899.39+92227.15+81625.15+5006</f>
        <v>235757.68999999997</v>
      </c>
      <c r="U50" s="171">
        <v>0</v>
      </c>
      <c r="V50" s="171">
        <v>0</v>
      </c>
      <c r="W50" s="171">
        <v>0</v>
      </c>
      <c r="X50" s="171">
        <v>0</v>
      </c>
      <c r="Y50" s="171">
        <v>0</v>
      </c>
      <c r="Z50" s="171">
        <v>0</v>
      </c>
      <c r="AA50" s="171">
        <v>8043.3</v>
      </c>
      <c r="AB50" s="171">
        <v>40181.410000000003</v>
      </c>
      <c r="AC50" s="171">
        <v>9099.77</v>
      </c>
      <c r="AD50" s="171">
        <v>0</v>
      </c>
      <c r="AE50" s="171">
        <f>15054.91+9599.29</f>
        <v>24654.2</v>
      </c>
      <c r="AF50" s="172">
        <f>SUM(S50:AE50)</f>
        <v>1078459.01</v>
      </c>
      <c r="AG50" s="93"/>
      <c r="AH50" s="207">
        <f>(S50+T50)/AF50</f>
        <v>0.92398535388006997</v>
      </c>
      <c r="AI50" s="207">
        <f>U50/AF50</f>
        <v>0</v>
      </c>
      <c r="AJ50" s="207">
        <f>V50/AF50</f>
        <v>0</v>
      </c>
      <c r="AK50" s="207">
        <f>W50/AF50</f>
        <v>0</v>
      </c>
      <c r="AL50" s="207">
        <f>X50/AF50</f>
        <v>0</v>
      </c>
      <c r="AM50" s="207">
        <f>Y50/AF50</f>
        <v>0</v>
      </c>
      <c r="AN50" s="207">
        <f>Z50/AF50</f>
        <v>0</v>
      </c>
      <c r="AO50" s="207">
        <f>AA50/AF50</f>
        <v>7.4581415940880311E-3</v>
      </c>
      <c r="AP50" s="207">
        <f>AB50/AF50</f>
        <v>3.7258170804284903E-2</v>
      </c>
      <c r="AQ50" s="207">
        <f>AC50/AF50</f>
        <v>8.4377523073408244E-3</v>
      </c>
      <c r="AR50" s="207">
        <f>AD50/AF50</f>
        <v>0</v>
      </c>
      <c r="AS50" s="207">
        <f>AE50/AF50</f>
        <v>2.2860581414216197E-2</v>
      </c>
      <c r="AT50" s="93"/>
      <c r="AU50" s="124">
        <f>I50-AF50</f>
        <v>126622.73999999999</v>
      </c>
    </row>
    <row r="51" spans="1:47" x14ac:dyDescent="0.2">
      <c r="A51" s="90"/>
      <c r="B51" s="72"/>
      <c r="C51" s="30"/>
      <c r="D51" s="30"/>
      <c r="E51" s="30"/>
      <c r="F51" s="30"/>
      <c r="G51" s="30"/>
      <c r="H51" s="30"/>
      <c r="I51" s="30"/>
      <c r="J51" s="30"/>
      <c r="K51" s="52"/>
      <c r="L51" s="218"/>
      <c r="M51" s="218"/>
      <c r="N51" s="218"/>
      <c r="O51" s="218"/>
      <c r="P51" s="218"/>
      <c r="Q51" s="218"/>
      <c r="R51" s="89"/>
      <c r="S51" s="116"/>
      <c r="T51" s="116"/>
      <c r="U51" s="116"/>
      <c r="V51" s="116"/>
      <c r="W51" s="116"/>
      <c r="X51" s="116"/>
      <c r="Y51" s="116"/>
      <c r="Z51" s="116"/>
      <c r="AA51" s="116"/>
      <c r="AB51" s="116"/>
      <c r="AC51" s="116"/>
      <c r="AD51" s="116"/>
      <c r="AE51" s="116"/>
      <c r="AF51" s="116"/>
      <c r="AG51" s="52"/>
      <c r="AH51" s="116"/>
      <c r="AI51" s="116"/>
      <c r="AJ51" s="116"/>
      <c r="AK51" s="116"/>
      <c r="AL51" s="116"/>
      <c r="AM51" s="116"/>
      <c r="AN51" s="116"/>
      <c r="AO51" s="116"/>
      <c r="AP51" s="116"/>
      <c r="AQ51" s="116"/>
      <c r="AR51" s="116"/>
      <c r="AS51" s="116"/>
      <c r="AT51" s="52"/>
      <c r="AU51" s="105"/>
    </row>
    <row r="52" spans="1:47" hidden="1" outlineLevel="1" x14ac:dyDescent="0.2">
      <c r="A52" s="88">
        <v>11</v>
      </c>
      <c r="B52" s="32" t="s">
        <v>122</v>
      </c>
      <c r="C52" s="189">
        <v>27400</v>
      </c>
      <c r="D52" s="189">
        <v>68784.84</v>
      </c>
      <c r="E52" s="189">
        <v>0</v>
      </c>
      <c r="F52" s="189">
        <v>0</v>
      </c>
      <c r="G52" s="189">
        <v>0</v>
      </c>
      <c r="H52" s="189">
        <v>0</v>
      </c>
      <c r="I52" s="189">
        <f>SUM(C52:H52)</f>
        <v>96184.84</v>
      </c>
      <c r="J52" s="214"/>
      <c r="K52" s="50"/>
      <c r="L52" s="207"/>
      <c r="M52" s="207"/>
      <c r="N52" s="207"/>
      <c r="O52" s="207"/>
      <c r="P52" s="207"/>
      <c r="Q52" s="207"/>
      <c r="R52" s="52"/>
      <c r="S52" s="166">
        <v>0</v>
      </c>
      <c r="T52" s="166">
        <v>0</v>
      </c>
      <c r="U52" s="166">
        <v>0</v>
      </c>
      <c r="V52" s="166">
        <v>0</v>
      </c>
      <c r="W52" s="166">
        <v>0</v>
      </c>
      <c r="X52" s="166">
        <v>0</v>
      </c>
      <c r="Y52" s="166">
        <v>0</v>
      </c>
      <c r="Z52" s="166">
        <v>0</v>
      </c>
      <c r="AA52" s="166">
        <v>0</v>
      </c>
      <c r="AB52" s="166">
        <v>0</v>
      </c>
      <c r="AC52" s="166">
        <v>0</v>
      </c>
      <c r="AD52" s="166">
        <v>0</v>
      </c>
      <c r="AE52" s="166">
        <v>0</v>
      </c>
      <c r="AF52" s="167">
        <f>SUM(S52:AE52)</f>
        <v>0</v>
      </c>
      <c r="AG52" s="50"/>
      <c r="AH52" s="207"/>
      <c r="AI52" s="207"/>
      <c r="AJ52" s="207"/>
      <c r="AK52" s="207"/>
      <c r="AL52" s="207"/>
      <c r="AM52" s="207"/>
      <c r="AN52" s="207"/>
      <c r="AO52" s="207"/>
      <c r="AP52" s="207"/>
      <c r="AQ52" s="207"/>
      <c r="AR52" s="207"/>
      <c r="AS52" s="207"/>
      <c r="AT52" s="50"/>
      <c r="AU52" s="98"/>
    </row>
    <row r="53" spans="1:47" hidden="1" outlineLevel="1" x14ac:dyDescent="0.2">
      <c r="A53" s="88">
        <v>11</v>
      </c>
      <c r="B53" s="32" t="s">
        <v>123</v>
      </c>
      <c r="C53" s="189">
        <v>543932</v>
      </c>
      <c r="D53" s="189">
        <v>668835.32999999996</v>
      </c>
      <c r="E53" s="189">
        <v>0</v>
      </c>
      <c r="F53" s="189">
        <v>0</v>
      </c>
      <c r="G53" s="189">
        <v>0</v>
      </c>
      <c r="H53" s="189">
        <v>0</v>
      </c>
      <c r="I53" s="189">
        <f>SUM(C53:H53)</f>
        <v>1212767.33</v>
      </c>
      <c r="J53" s="214"/>
      <c r="K53" s="50"/>
      <c r="L53" s="207"/>
      <c r="M53" s="207"/>
      <c r="N53" s="207"/>
      <c r="O53" s="207"/>
      <c r="P53" s="207"/>
      <c r="Q53" s="207"/>
      <c r="R53" s="50"/>
      <c r="S53" s="166">
        <v>0</v>
      </c>
      <c r="T53" s="166">
        <v>0</v>
      </c>
      <c r="U53" s="166">
        <v>0</v>
      </c>
      <c r="V53" s="166">
        <v>0</v>
      </c>
      <c r="W53" s="166">
        <v>0</v>
      </c>
      <c r="X53" s="166">
        <v>0</v>
      </c>
      <c r="Y53" s="166">
        <v>0</v>
      </c>
      <c r="Z53" s="166">
        <v>0</v>
      </c>
      <c r="AA53" s="166">
        <v>0</v>
      </c>
      <c r="AB53" s="166">
        <v>0</v>
      </c>
      <c r="AC53" s="166">
        <v>0</v>
      </c>
      <c r="AD53" s="166">
        <v>0</v>
      </c>
      <c r="AE53" s="166">
        <v>0</v>
      </c>
      <c r="AF53" s="167">
        <f>SUM(S53:AE53)</f>
        <v>0</v>
      </c>
      <c r="AG53" s="50"/>
      <c r="AH53" s="207"/>
      <c r="AI53" s="207"/>
      <c r="AJ53" s="207"/>
      <c r="AK53" s="207"/>
      <c r="AL53" s="207"/>
      <c r="AM53" s="207"/>
      <c r="AN53" s="207"/>
      <c r="AO53" s="207"/>
      <c r="AP53" s="207"/>
      <c r="AQ53" s="207"/>
      <c r="AR53" s="207"/>
      <c r="AS53" s="207"/>
      <c r="AT53" s="50"/>
      <c r="AU53" s="98"/>
    </row>
    <row r="54" spans="1:47" hidden="1" outlineLevel="1" x14ac:dyDescent="0.2">
      <c r="A54" s="88">
        <v>11</v>
      </c>
      <c r="B54" s="32" t="s">
        <v>124</v>
      </c>
      <c r="C54" s="189">
        <v>23400</v>
      </c>
      <c r="D54" s="189">
        <v>26085.029999999995</v>
      </c>
      <c r="E54" s="189">
        <v>0</v>
      </c>
      <c r="F54" s="189">
        <v>0</v>
      </c>
      <c r="G54" s="189">
        <v>0</v>
      </c>
      <c r="H54" s="189">
        <v>0</v>
      </c>
      <c r="I54" s="189">
        <f>SUM(C54:H54)</f>
        <v>49485.03</v>
      </c>
      <c r="J54" s="214"/>
      <c r="K54" s="50"/>
      <c r="L54" s="207"/>
      <c r="M54" s="207"/>
      <c r="N54" s="207"/>
      <c r="O54" s="207"/>
      <c r="P54" s="207"/>
      <c r="Q54" s="207"/>
      <c r="R54" s="50"/>
      <c r="S54" s="166">
        <v>0</v>
      </c>
      <c r="T54" s="166">
        <v>0</v>
      </c>
      <c r="U54" s="166">
        <v>0</v>
      </c>
      <c r="V54" s="166">
        <v>0</v>
      </c>
      <c r="W54" s="166">
        <v>0</v>
      </c>
      <c r="X54" s="166">
        <v>0</v>
      </c>
      <c r="Y54" s="166">
        <v>0</v>
      </c>
      <c r="Z54" s="166">
        <v>0</v>
      </c>
      <c r="AA54" s="166">
        <v>0</v>
      </c>
      <c r="AB54" s="166">
        <v>0</v>
      </c>
      <c r="AC54" s="166">
        <v>0</v>
      </c>
      <c r="AD54" s="166">
        <v>0</v>
      </c>
      <c r="AE54" s="166">
        <v>0</v>
      </c>
      <c r="AF54" s="167">
        <f>SUM(S54:AE54)</f>
        <v>0</v>
      </c>
      <c r="AG54" s="50"/>
      <c r="AH54" s="207"/>
      <c r="AI54" s="207"/>
      <c r="AJ54" s="207"/>
      <c r="AK54" s="207"/>
      <c r="AL54" s="207"/>
      <c r="AM54" s="207"/>
      <c r="AN54" s="207"/>
      <c r="AO54" s="207"/>
      <c r="AP54" s="207"/>
      <c r="AQ54" s="207"/>
      <c r="AR54" s="207"/>
      <c r="AS54" s="207"/>
      <c r="AT54" s="50"/>
      <c r="AU54" s="98"/>
    </row>
    <row r="55" spans="1:47" ht="13.5" hidden="1" outlineLevel="1" thickBot="1" x14ac:dyDescent="0.25">
      <c r="A55" s="88">
        <v>11</v>
      </c>
      <c r="B55" s="32" t="s">
        <v>125</v>
      </c>
      <c r="C55" s="190">
        <f>'[11]Saluda Revenue'!$B$11</f>
        <v>22400</v>
      </c>
      <c r="D55" s="190">
        <f>'[11]Saluda Revenue'!$B$3</f>
        <v>50661.420000000006</v>
      </c>
      <c r="E55" s="190">
        <v>0</v>
      </c>
      <c r="F55" s="190">
        <v>0</v>
      </c>
      <c r="G55" s="190">
        <v>0</v>
      </c>
      <c r="H55" s="190">
        <v>0</v>
      </c>
      <c r="I55" s="190">
        <f>SUM(C55:H55)</f>
        <v>73061.420000000013</v>
      </c>
      <c r="J55" s="214"/>
      <c r="K55" s="50"/>
      <c r="L55" s="207"/>
      <c r="M55" s="207"/>
      <c r="N55" s="207"/>
      <c r="O55" s="207"/>
      <c r="P55" s="207"/>
      <c r="Q55" s="207"/>
      <c r="R55" s="50"/>
      <c r="S55" s="168">
        <v>0</v>
      </c>
      <c r="T55" s="168">
        <v>0</v>
      </c>
      <c r="U55" s="168">
        <v>0</v>
      </c>
      <c r="V55" s="168">
        <v>0</v>
      </c>
      <c r="W55" s="168">
        <v>0</v>
      </c>
      <c r="X55" s="168">
        <v>0</v>
      </c>
      <c r="Y55" s="168">
        <v>0</v>
      </c>
      <c r="Z55" s="168">
        <v>0</v>
      </c>
      <c r="AA55" s="168">
        <v>0</v>
      </c>
      <c r="AB55" s="168">
        <v>0</v>
      </c>
      <c r="AC55" s="168">
        <v>0</v>
      </c>
      <c r="AD55" s="168">
        <v>0</v>
      </c>
      <c r="AE55" s="168">
        <v>0</v>
      </c>
      <c r="AF55" s="169">
        <f>SUM(S55:AE55)</f>
        <v>0</v>
      </c>
      <c r="AG55" s="50"/>
      <c r="AH55" s="207"/>
      <c r="AI55" s="207"/>
      <c r="AJ55" s="207"/>
      <c r="AK55" s="207"/>
      <c r="AL55" s="207"/>
      <c r="AM55" s="207"/>
      <c r="AN55" s="207"/>
      <c r="AO55" s="207"/>
      <c r="AP55" s="207"/>
      <c r="AQ55" s="207"/>
      <c r="AR55" s="207"/>
      <c r="AS55" s="207"/>
      <c r="AT55" s="50"/>
      <c r="AU55" s="103"/>
    </row>
    <row r="56" spans="1:47" collapsed="1" x14ac:dyDescent="0.2">
      <c r="A56" s="40">
        <v>11</v>
      </c>
      <c r="B56" s="45" t="s">
        <v>4</v>
      </c>
      <c r="C56" s="191">
        <f t="shared" ref="C56:H56" si="11">SUM(C52:C55)</f>
        <v>617132</v>
      </c>
      <c r="D56" s="191">
        <f t="shared" si="11"/>
        <v>814366.62</v>
      </c>
      <c r="E56" s="191">
        <f t="shared" si="11"/>
        <v>0</v>
      </c>
      <c r="F56" s="191">
        <f t="shared" si="11"/>
        <v>0</v>
      </c>
      <c r="G56" s="191">
        <f t="shared" si="11"/>
        <v>0</v>
      </c>
      <c r="H56" s="191">
        <f t="shared" si="11"/>
        <v>0</v>
      </c>
      <c r="I56" s="191">
        <f>SUM(C56:H56)</f>
        <v>1431498.62</v>
      </c>
      <c r="J56" s="216"/>
      <c r="K56" s="93"/>
      <c r="L56" s="207">
        <f>C56/I56</f>
        <v>0.43110904291336305</v>
      </c>
      <c r="M56" s="207">
        <f>D56/I56</f>
        <v>0.56889095708663684</v>
      </c>
      <c r="N56" s="207">
        <f>E56/I56</f>
        <v>0</v>
      </c>
      <c r="O56" s="207">
        <f>F56/I56</f>
        <v>0</v>
      </c>
      <c r="P56" s="207">
        <f>G56/I56</f>
        <v>0</v>
      </c>
      <c r="Q56" s="207">
        <f>H56/I56</f>
        <v>0</v>
      </c>
      <c r="R56" s="50"/>
      <c r="S56" s="171">
        <v>907842</v>
      </c>
      <c r="T56" s="171">
        <f>65795+132600+97120+3236</f>
        <v>298751</v>
      </c>
      <c r="U56" s="171">
        <v>27460</v>
      </c>
      <c r="V56" s="171">
        <v>17732</v>
      </c>
      <c r="W56" s="171">
        <v>1543</v>
      </c>
      <c r="X56" s="171">
        <v>29784</v>
      </c>
      <c r="Y56" s="171">
        <v>5990</v>
      </c>
      <c r="Z56" s="171">
        <v>7276</v>
      </c>
      <c r="AA56" s="171">
        <v>0</v>
      </c>
      <c r="AB56" s="171">
        <v>141535</v>
      </c>
      <c r="AC56" s="171">
        <v>15839</v>
      </c>
      <c r="AD56" s="171">
        <v>0</v>
      </c>
      <c r="AE56" s="171">
        <f>5633+3100+7000</f>
        <v>15733</v>
      </c>
      <c r="AF56" s="172">
        <f>SUM(S56:AE56)</f>
        <v>1469485</v>
      </c>
      <c r="AG56" s="93"/>
      <c r="AH56" s="207">
        <f>(S56+T56)/AF56</f>
        <v>0.82109922864132667</v>
      </c>
      <c r="AI56" s="207">
        <f>U56/AF56</f>
        <v>1.8686818851502397E-2</v>
      </c>
      <c r="AJ56" s="207">
        <f>V56/AF56</f>
        <v>1.206681252275457E-2</v>
      </c>
      <c r="AK56" s="207">
        <f>W56/AF56</f>
        <v>1.050027730803649E-3</v>
      </c>
      <c r="AL56" s="207">
        <f>X56/AF56</f>
        <v>2.0268325297638289E-2</v>
      </c>
      <c r="AM56" s="207">
        <f>Y56/AF56</f>
        <v>4.0762580087581705E-3</v>
      </c>
      <c r="AN56" s="207">
        <f>Z56/AF56</f>
        <v>4.9513945361810427E-3</v>
      </c>
      <c r="AO56" s="207">
        <f>AA56/AF56</f>
        <v>0</v>
      </c>
      <c r="AP56" s="207">
        <f>AB56/AF56</f>
        <v>9.6316056305440337E-2</v>
      </c>
      <c r="AQ56" s="207">
        <f>AC56/AF56</f>
        <v>1.077860611030395E-2</v>
      </c>
      <c r="AR56" s="207">
        <f>AD56/AF56</f>
        <v>0</v>
      </c>
      <c r="AS56" s="207">
        <f>AE56/AF56</f>
        <v>1.0706471995290867E-2</v>
      </c>
      <c r="AT56" s="93"/>
      <c r="AU56" s="124">
        <f>I56-AF56</f>
        <v>-37986.379999999888</v>
      </c>
    </row>
    <row r="57" spans="1:47" x14ac:dyDescent="0.2">
      <c r="A57" s="90"/>
      <c r="B57" s="72"/>
      <c r="C57" s="30"/>
      <c r="D57" s="30"/>
      <c r="E57" s="30"/>
      <c r="F57" s="30"/>
      <c r="G57" s="30"/>
      <c r="H57" s="30"/>
      <c r="I57" s="30"/>
      <c r="J57" s="30"/>
      <c r="K57" s="52"/>
      <c r="L57" s="218"/>
      <c r="M57" s="218"/>
      <c r="N57" s="218"/>
      <c r="O57" s="218"/>
      <c r="P57" s="218"/>
      <c r="Q57" s="218"/>
      <c r="R57" s="89"/>
      <c r="S57" s="116"/>
      <c r="T57" s="116"/>
      <c r="U57" s="116"/>
      <c r="V57" s="116"/>
      <c r="W57" s="116"/>
      <c r="X57" s="116"/>
      <c r="Y57" s="116"/>
      <c r="Z57" s="116"/>
      <c r="AA57" s="116"/>
      <c r="AB57" s="116"/>
      <c r="AC57" s="116"/>
      <c r="AD57" s="116"/>
      <c r="AE57" s="116"/>
      <c r="AF57" s="116"/>
      <c r="AG57" s="52"/>
      <c r="AH57" s="116"/>
      <c r="AI57" s="116"/>
      <c r="AJ57" s="116"/>
      <c r="AK57" s="116"/>
      <c r="AL57" s="116"/>
      <c r="AM57" s="116"/>
      <c r="AN57" s="116"/>
      <c r="AO57" s="116"/>
      <c r="AP57" s="116"/>
      <c r="AQ57" s="116"/>
      <c r="AR57" s="116"/>
      <c r="AS57" s="116"/>
      <c r="AT57" s="52"/>
      <c r="AU57" s="104"/>
    </row>
    <row r="58" spans="1:47" hidden="1" outlineLevel="1" x14ac:dyDescent="0.2">
      <c r="A58" s="88">
        <v>12</v>
      </c>
      <c r="B58" s="32" t="s">
        <v>126</v>
      </c>
      <c r="C58" s="189">
        <f>'[12]Florence Revenue'!$B$11</f>
        <v>719865</v>
      </c>
      <c r="D58" s="189">
        <f>'[12]Florence Revenue'!$B$3</f>
        <v>348920.26</v>
      </c>
      <c r="E58" s="189">
        <v>0</v>
      </c>
      <c r="F58" s="189">
        <f>'[12]Florence Revenue'!$B$13</f>
        <v>20000</v>
      </c>
      <c r="G58" s="189">
        <v>0</v>
      </c>
      <c r="H58" s="189">
        <v>0</v>
      </c>
      <c r="I58" s="189">
        <f>SUM(C58:H58)</f>
        <v>1088785.26</v>
      </c>
      <c r="J58" s="215"/>
      <c r="K58" s="52"/>
      <c r="L58" s="217"/>
      <c r="M58" s="217"/>
      <c r="N58" s="217"/>
      <c r="O58" s="217"/>
      <c r="P58" s="217"/>
      <c r="Q58" s="217"/>
      <c r="R58" s="52"/>
      <c r="S58" s="166">
        <v>0</v>
      </c>
      <c r="T58" s="166">
        <v>0</v>
      </c>
      <c r="U58" s="166">
        <v>0</v>
      </c>
      <c r="V58" s="166">
        <v>0</v>
      </c>
      <c r="W58" s="166">
        <v>0</v>
      </c>
      <c r="X58" s="166">
        <v>0</v>
      </c>
      <c r="Y58" s="166">
        <v>0</v>
      </c>
      <c r="Z58" s="166">
        <v>0</v>
      </c>
      <c r="AA58" s="166">
        <v>0</v>
      </c>
      <c r="AB58" s="166">
        <v>0</v>
      </c>
      <c r="AC58" s="166">
        <v>0</v>
      </c>
      <c r="AD58" s="166">
        <v>0</v>
      </c>
      <c r="AE58" s="166">
        <v>0</v>
      </c>
      <c r="AF58" s="167">
        <f>SUM(S58:AE58)</f>
        <v>0</v>
      </c>
      <c r="AG58" s="52"/>
      <c r="AH58" s="217"/>
      <c r="AI58" s="217"/>
      <c r="AJ58" s="217"/>
      <c r="AK58" s="217"/>
      <c r="AL58" s="217"/>
      <c r="AM58" s="217"/>
      <c r="AN58" s="217"/>
      <c r="AO58" s="217"/>
      <c r="AP58" s="217"/>
      <c r="AQ58" s="217"/>
      <c r="AR58" s="217"/>
      <c r="AS58" s="217"/>
      <c r="AT58" s="52"/>
      <c r="AU58" s="98"/>
    </row>
    <row r="59" spans="1:47" ht="13.5" hidden="1" outlineLevel="1" thickBot="1" x14ac:dyDescent="0.25">
      <c r="A59" s="88">
        <v>12</v>
      </c>
      <c r="B59" s="32" t="s">
        <v>127</v>
      </c>
      <c r="C59" s="190">
        <f>'[12]Marion Revenue '!$B$11</f>
        <v>64179</v>
      </c>
      <c r="D59" s="190">
        <f>'[12]Marion Revenue '!$B$3</f>
        <v>84275.12</v>
      </c>
      <c r="E59" s="190">
        <v>0</v>
      </c>
      <c r="F59" s="190">
        <v>0</v>
      </c>
      <c r="G59" s="190">
        <v>0</v>
      </c>
      <c r="H59" s="190">
        <v>0</v>
      </c>
      <c r="I59" s="190">
        <f>SUM(C59:H59)</f>
        <v>148454.12</v>
      </c>
      <c r="J59" s="214"/>
      <c r="K59" s="50"/>
      <c r="L59" s="207"/>
      <c r="M59" s="207"/>
      <c r="N59" s="207"/>
      <c r="O59" s="207"/>
      <c r="P59" s="207"/>
      <c r="Q59" s="207"/>
      <c r="R59" s="52"/>
      <c r="S59" s="168">
        <v>0</v>
      </c>
      <c r="T59" s="168">
        <v>0</v>
      </c>
      <c r="U59" s="168">
        <v>0</v>
      </c>
      <c r="V59" s="168">
        <v>0</v>
      </c>
      <c r="W59" s="168">
        <v>0</v>
      </c>
      <c r="X59" s="168">
        <v>0</v>
      </c>
      <c r="Y59" s="168">
        <v>0</v>
      </c>
      <c r="Z59" s="168">
        <v>0</v>
      </c>
      <c r="AA59" s="168">
        <v>0</v>
      </c>
      <c r="AB59" s="168">
        <v>0</v>
      </c>
      <c r="AC59" s="168">
        <v>0</v>
      </c>
      <c r="AD59" s="168">
        <v>0</v>
      </c>
      <c r="AE59" s="168">
        <v>0</v>
      </c>
      <c r="AF59" s="169">
        <f>SUM(S59:AE59)</f>
        <v>0</v>
      </c>
      <c r="AG59" s="50"/>
      <c r="AH59" s="207"/>
      <c r="AI59" s="207"/>
      <c r="AJ59" s="207"/>
      <c r="AK59" s="207"/>
      <c r="AL59" s="207"/>
      <c r="AM59" s="207"/>
      <c r="AN59" s="207"/>
      <c r="AO59" s="207"/>
      <c r="AP59" s="207"/>
      <c r="AQ59" s="207"/>
      <c r="AR59" s="207"/>
      <c r="AS59" s="207"/>
      <c r="AT59" s="50"/>
      <c r="AU59" s="103"/>
    </row>
    <row r="60" spans="1:47" collapsed="1" x14ac:dyDescent="0.2">
      <c r="A60" s="40">
        <v>12</v>
      </c>
      <c r="B60" s="45" t="s">
        <v>4</v>
      </c>
      <c r="C60" s="191">
        <f t="shared" ref="C60:H60" si="12">SUM(C58:C59)</f>
        <v>784044</v>
      </c>
      <c r="D60" s="191">
        <f t="shared" si="12"/>
        <v>433195.38</v>
      </c>
      <c r="E60" s="191">
        <f t="shared" si="12"/>
        <v>0</v>
      </c>
      <c r="F60" s="191">
        <f t="shared" si="12"/>
        <v>20000</v>
      </c>
      <c r="G60" s="191">
        <f t="shared" si="12"/>
        <v>0</v>
      </c>
      <c r="H60" s="191">
        <f t="shared" si="12"/>
        <v>0</v>
      </c>
      <c r="I60" s="191">
        <f>SUM(C60:H60)</f>
        <v>1237239.3799999999</v>
      </c>
      <c r="J60" s="216"/>
      <c r="K60" s="93"/>
      <c r="L60" s="207">
        <f>C60/I60</f>
        <v>0.63370436851112844</v>
      </c>
      <c r="M60" s="207">
        <f>D60/I60</f>
        <v>0.35013061094127157</v>
      </c>
      <c r="N60" s="207">
        <f>E60/I60</f>
        <v>0</v>
      </c>
      <c r="O60" s="207">
        <f>F60/I60</f>
        <v>1.6165020547600096E-2</v>
      </c>
      <c r="P60" s="207">
        <f>G60/I60</f>
        <v>0</v>
      </c>
      <c r="Q60" s="207">
        <f>H60/I60</f>
        <v>0</v>
      </c>
      <c r="R60" s="50"/>
      <c r="S60" s="171">
        <f>268640+356209</f>
        <v>624849</v>
      </c>
      <c r="T60" s="171">
        <f>40577+80145+60522+740</f>
        <v>181984</v>
      </c>
      <c r="U60" s="171">
        <v>3854</v>
      </c>
      <c r="V60" s="171">
        <v>63</v>
      </c>
      <c r="W60" s="171">
        <v>616</v>
      </c>
      <c r="X60" s="171">
        <v>7200</v>
      </c>
      <c r="Y60" s="171">
        <v>1623</v>
      </c>
      <c r="Z60" s="171">
        <v>1375</v>
      </c>
      <c r="AA60" s="171">
        <v>8920</v>
      </c>
      <c r="AB60" s="171">
        <v>0</v>
      </c>
      <c r="AC60" s="171">
        <v>2000</v>
      </c>
      <c r="AD60" s="171">
        <v>0</v>
      </c>
      <c r="AE60" s="171">
        <f>6205+4573+1522+4400+11654+5005</f>
        <v>33359</v>
      </c>
      <c r="AF60" s="172">
        <f>SUM(S60:AE60)</f>
        <v>865843</v>
      </c>
      <c r="AG60" s="93"/>
      <c r="AH60" s="207">
        <f>(S60+T60)/AF60</f>
        <v>0.93184676667709965</v>
      </c>
      <c r="AI60" s="207">
        <f>U60/AF60</f>
        <v>4.451153384620537E-3</v>
      </c>
      <c r="AJ60" s="207">
        <f>V60/AF60</f>
        <v>7.2761459063594664E-5</v>
      </c>
      <c r="AK60" s="207">
        <f>W60/AF60</f>
        <v>7.1144537751070347E-4</v>
      </c>
      <c r="AL60" s="207">
        <f>X60/AF60</f>
        <v>8.3155953215536763E-3</v>
      </c>
      <c r="AM60" s="207">
        <f>Y60/AF60</f>
        <v>1.8744737787335579E-3</v>
      </c>
      <c r="AN60" s="207">
        <f>Z60/AF60</f>
        <v>1.5880477176578201E-3</v>
      </c>
      <c r="AO60" s="207">
        <f>AA60/AF60</f>
        <v>1.0302098648369278E-2</v>
      </c>
      <c r="AP60" s="207">
        <f>AB60/AF60</f>
        <v>0</v>
      </c>
      <c r="AQ60" s="207">
        <f>AC60/AF60</f>
        <v>2.3098875893204657E-3</v>
      </c>
      <c r="AR60" s="207">
        <f>AD60/AF60</f>
        <v>0</v>
      </c>
      <c r="AS60" s="207">
        <f>AE60/AF60</f>
        <v>3.8527770046070706E-2</v>
      </c>
      <c r="AT60" s="93"/>
      <c r="AU60" s="124">
        <f>I60-AF60</f>
        <v>371396.37999999989</v>
      </c>
    </row>
    <row r="61" spans="1:47" x14ac:dyDescent="0.2">
      <c r="A61" s="90"/>
      <c r="B61" s="72"/>
      <c r="C61" s="30"/>
      <c r="D61" s="30"/>
      <c r="E61" s="30"/>
      <c r="F61" s="30"/>
      <c r="G61" s="30"/>
      <c r="H61" s="30"/>
      <c r="I61" s="30"/>
      <c r="J61" s="30"/>
      <c r="K61" s="52"/>
      <c r="L61" s="218"/>
      <c r="M61" s="218"/>
      <c r="N61" s="218"/>
      <c r="O61" s="218"/>
      <c r="P61" s="218"/>
      <c r="Q61" s="218"/>
      <c r="R61" s="89"/>
      <c r="S61" s="116"/>
      <c r="T61" s="116"/>
      <c r="U61" s="116"/>
      <c r="V61" s="116"/>
      <c r="W61" s="116"/>
      <c r="X61" s="116"/>
      <c r="Y61" s="116"/>
      <c r="Z61" s="116"/>
      <c r="AA61" s="116"/>
      <c r="AB61" s="116"/>
      <c r="AC61" s="116"/>
      <c r="AD61" s="116"/>
      <c r="AE61" s="116"/>
      <c r="AF61" s="116"/>
      <c r="AG61" s="52"/>
      <c r="AH61" s="116"/>
      <c r="AI61" s="116"/>
      <c r="AJ61" s="116"/>
      <c r="AK61" s="116"/>
      <c r="AL61" s="116"/>
      <c r="AM61" s="116"/>
      <c r="AN61" s="116"/>
      <c r="AO61" s="116"/>
      <c r="AP61" s="116"/>
      <c r="AQ61" s="116"/>
      <c r="AR61" s="116"/>
      <c r="AS61" s="116"/>
      <c r="AT61" s="52"/>
      <c r="AU61" s="105"/>
    </row>
    <row r="62" spans="1:47" hidden="1" outlineLevel="1" x14ac:dyDescent="0.2">
      <c r="A62" s="88">
        <v>13</v>
      </c>
      <c r="B62" s="32" t="s">
        <v>128</v>
      </c>
      <c r="C62" s="189">
        <v>747825</v>
      </c>
      <c r="D62" s="189">
        <v>1150172.06</v>
      </c>
      <c r="E62" s="189">
        <v>0</v>
      </c>
      <c r="F62" s="189">
        <v>0</v>
      </c>
      <c r="G62" s="189">
        <v>0</v>
      </c>
      <c r="H62" s="189">
        <v>0</v>
      </c>
      <c r="I62" s="189">
        <f>SUM(C62:H62)</f>
        <v>1897997.06</v>
      </c>
      <c r="J62" s="214"/>
      <c r="K62" s="50"/>
      <c r="L62" s="207"/>
      <c r="M62" s="207"/>
      <c r="N62" s="207"/>
      <c r="O62" s="207"/>
      <c r="P62" s="207"/>
      <c r="Q62" s="207"/>
      <c r="R62" s="52"/>
      <c r="S62" s="166">
        <v>0</v>
      </c>
      <c r="T62" s="166">
        <v>0</v>
      </c>
      <c r="U62" s="166">
        <v>0</v>
      </c>
      <c r="V62" s="166">
        <v>0</v>
      </c>
      <c r="W62" s="166">
        <v>0</v>
      </c>
      <c r="X62" s="166">
        <v>0</v>
      </c>
      <c r="Y62" s="166">
        <v>0</v>
      </c>
      <c r="Z62" s="166">
        <v>0</v>
      </c>
      <c r="AA62" s="166">
        <v>0</v>
      </c>
      <c r="AB62" s="166">
        <v>0</v>
      </c>
      <c r="AC62" s="166">
        <v>0</v>
      </c>
      <c r="AD62" s="166">
        <v>0</v>
      </c>
      <c r="AE62" s="166">
        <v>0</v>
      </c>
      <c r="AF62" s="167">
        <f>SUM(S62:AE62)</f>
        <v>0</v>
      </c>
      <c r="AG62" s="50"/>
      <c r="AH62" s="207"/>
      <c r="AI62" s="207"/>
      <c r="AJ62" s="207"/>
      <c r="AK62" s="207"/>
      <c r="AL62" s="207"/>
      <c r="AM62" s="207"/>
      <c r="AN62" s="207"/>
      <c r="AO62" s="207"/>
      <c r="AP62" s="207"/>
      <c r="AQ62" s="207"/>
      <c r="AR62" s="207"/>
      <c r="AS62" s="207"/>
      <c r="AT62" s="50"/>
      <c r="AU62" s="98"/>
    </row>
    <row r="63" spans="1:47" ht="13.5" hidden="1" outlineLevel="1" thickBot="1" x14ac:dyDescent="0.25">
      <c r="A63" s="88">
        <v>13</v>
      </c>
      <c r="B63" s="32" t="s">
        <v>130</v>
      </c>
      <c r="C63" s="190">
        <f>'[13]Pickens Revenue '!$B$11</f>
        <v>102286</v>
      </c>
      <c r="D63" s="190">
        <f>'[13]Pickens Revenue '!$B$3</f>
        <v>303902.31</v>
      </c>
      <c r="E63" s="190">
        <v>0</v>
      </c>
      <c r="F63" s="190">
        <v>0</v>
      </c>
      <c r="G63" s="190">
        <v>0</v>
      </c>
      <c r="H63" s="190">
        <v>0</v>
      </c>
      <c r="I63" s="190">
        <f>SUM(C63:H63)</f>
        <v>406188.31</v>
      </c>
      <c r="J63" s="214"/>
      <c r="K63" s="50"/>
      <c r="L63" s="207"/>
      <c r="M63" s="207"/>
      <c r="N63" s="207"/>
      <c r="O63" s="207"/>
      <c r="P63" s="207"/>
      <c r="Q63" s="207"/>
      <c r="R63" s="50"/>
      <c r="S63" s="168">
        <v>0</v>
      </c>
      <c r="T63" s="168">
        <v>0</v>
      </c>
      <c r="U63" s="168">
        <v>0</v>
      </c>
      <c r="V63" s="168">
        <v>0</v>
      </c>
      <c r="W63" s="168">
        <v>0</v>
      </c>
      <c r="X63" s="168">
        <v>0</v>
      </c>
      <c r="Y63" s="168">
        <v>0</v>
      </c>
      <c r="Z63" s="168">
        <v>0</v>
      </c>
      <c r="AA63" s="168">
        <v>0</v>
      </c>
      <c r="AB63" s="168">
        <v>0</v>
      </c>
      <c r="AC63" s="168">
        <v>0</v>
      </c>
      <c r="AD63" s="168">
        <v>0</v>
      </c>
      <c r="AE63" s="168">
        <v>0</v>
      </c>
      <c r="AF63" s="169">
        <f>SUM(S63:AE63)</f>
        <v>0</v>
      </c>
      <c r="AG63" s="50"/>
      <c r="AH63" s="207"/>
      <c r="AI63" s="207"/>
      <c r="AJ63" s="207"/>
      <c r="AK63" s="207"/>
      <c r="AL63" s="207"/>
      <c r="AM63" s="207"/>
      <c r="AN63" s="207"/>
      <c r="AO63" s="207"/>
      <c r="AP63" s="207"/>
      <c r="AQ63" s="207"/>
      <c r="AR63" s="207"/>
      <c r="AS63" s="207"/>
      <c r="AT63" s="50"/>
      <c r="AU63" s="103"/>
    </row>
    <row r="64" spans="1:47" collapsed="1" x14ac:dyDescent="0.2">
      <c r="A64" s="40">
        <v>13</v>
      </c>
      <c r="B64" s="45" t="s">
        <v>4</v>
      </c>
      <c r="C64" s="191">
        <f t="shared" ref="C64:H64" si="13">SUM(C62:C63)</f>
        <v>850111</v>
      </c>
      <c r="D64" s="191">
        <f t="shared" si="13"/>
        <v>1454074.37</v>
      </c>
      <c r="E64" s="191">
        <f t="shared" si="13"/>
        <v>0</v>
      </c>
      <c r="F64" s="191">
        <f t="shared" si="13"/>
        <v>0</v>
      </c>
      <c r="G64" s="191">
        <f t="shared" si="13"/>
        <v>0</v>
      </c>
      <c r="H64" s="191">
        <f t="shared" si="13"/>
        <v>0</v>
      </c>
      <c r="I64" s="191">
        <f>SUM(C64:H64)</f>
        <v>2304185.37</v>
      </c>
      <c r="J64" s="216"/>
      <c r="K64" s="93"/>
      <c r="L64" s="207">
        <f>C64/I64</f>
        <v>0.36894210468839145</v>
      </c>
      <c r="M64" s="207">
        <f>D64/I64</f>
        <v>0.63105789531160861</v>
      </c>
      <c r="N64" s="207">
        <f>E64/I64</f>
        <v>0</v>
      </c>
      <c r="O64" s="207">
        <f>F64/I64</f>
        <v>0</v>
      </c>
      <c r="P64" s="207">
        <f>G64/I64</f>
        <v>0</v>
      </c>
      <c r="Q64" s="207">
        <f>H64/I64</f>
        <v>0</v>
      </c>
      <c r="R64" s="50"/>
      <c r="S64" s="171">
        <v>1439728</v>
      </c>
      <c r="T64" s="171">
        <f>83650+173468+122918+4652</f>
        <v>384688</v>
      </c>
      <c r="U64" s="171">
        <v>2194</v>
      </c>
      <c r="V64" s="171">
        <v>3487</v>
      </c>
      <c r="W64" s="171">
        <v>800</v>
      </c>
      <c r="X64" s="171">
        <v>0</v>
      </c>
      <c r="Y64" s="171">
        <v>0</v>
      </c>
      <c r="Z64" s="171">
        <v>3493</v>
      </c>
      <c r="AA64" s="171">
        <v>20651</v>
      </c>
      <c r="AB64" s="171">
        <v>3038</v>
      </c>
      <c r="AC64" s="171">
        <v>10450</v>
      </c>
      <c r="AD64" s="171">
        <v>1344</v>
      </c>
      <c r="AE64" s="171">
        <f>11744+25823+14974+6195</f>
        <v>58736</v>
      </c>
      <c r="AF64" s="172">
        <f>SUM(S64:AE64)</f>
        <v>1928609</v>
      </c>
      <c r="AG64" s="93"/>
      <c r="AH64" s="207">
        <f>(S64+T64)/AF64</f>
        <v>0.94597505248601454</v>
      </c>
      <c r="AI64" s="207">
        <f>U64/AF64</f>
        <v>1.1376074673508211E-3</v>
      </c>
      <c r="AJ64" s="207">
        <f>V64/AF64</f>
        <v>1.8080388507986844E-3</v>
      </c>
      <c r="AK64" s="207">
        <f>W64/AF64</f>
        <v>4.1480673376511257E-4</v>
      </c>
      <c r="AL64" s="207">
        <f>X64/AF64</f>
        <v>0</v>
      </c>
      <c r="AM64" s="207">
        <f>Y64/AF64</f>
        <v>0</v>
      </c>
      <c r="AN64" s="207">
        <f>Z64/AF64</f>
        <v>1.8111499013019228E-3</v>
      </c>
      <c r="AO64" s="207">
        <f>AA64/AF64</f>
        <v>1.0707717323729174E-2</v>
      </c>
      <c r="AP64" s="207">
        <f>AB64/AF64</f>
        <v>1.5752285714730151E-3</v>
      </c>
      <c r="AQ64" s="207">
        <f>AC64/AF64</f>
        <v>5.4184129598067827E-3</v>
      </c>
      <c r="AR64" s="207">
        <f>AD64/AF64</f>
        <v>6.9687531272538911E-4</v>
      </c>
      <c r="AS64" s="207">
        <f>AE64/AF64</f>
        <v>3.0455110393034564E-2</v>
      </c>
      <c r="AT64" s="93"/>
      <c r="AU64" s="124">
        <f>I64-AF64</f>
        <v>375576.37000000011</v>
      </c>
    </row>
    <row r="65" spans="1:47" x14ac:dyDescent="0.2">
      <c r="A65" s="72"/>
      <c r="B65" s="72"/>
      <c r="C65" s="30"/>
      <c r="D65" s="30"/>
      <c r="E65" s="30"/>
      <c r="F65" s="30"/>
      <c r="G65" s="30"/>
      <c r="H65" s="30"/>
      <c r="I65" s="30"/>
      <c r="J65" s="30"/>
      <c r="K65" s="52"/>
      <c r="L65" s="218"/>
      <c r="M65" s="218"/>
      <c r="N65" s="218"/>
      <c r="O65" s="218"/>
      <c r="P65" s="218"/>
      <c r="Q65" s="218"/>
      <c r="R65" s="89"/>
      <c r="S65" s="116"/>
      <c r="T65" s="116"/>
      <c r="U65" s="116"/>
      <c r="V65" s="116"/>
      <c r="W65" s="116"/>
      <c r="X65" s="116"/>
      <c r="Y65" s="116"/>
      <c r="Z65" s="116"/>
      <c r="AA65" s="116"/>
      <c r="AB65" s="116"/>
      <c r="AC65" s="116"/>
      <c r="AD65" s="116"/>
      <c r="AE65" s="116"/>
      <c r="AF65" s="116"/>
      <c r="AG65" s="52"/>
      <c r="AH65" s="116"/>
      <c r="AI65" s="116"/>
      <c r="AJ65" s="116"/>
      <c r="AK65" s="116"/>
      <c r="AL65" s="116"/>
      <c r="AM65" s="116"/>
      <c r="AN65" s="116"/>
      <c r="AO65" s="116"/>
      <c r="AP65" s="116"/>
      <c r="AQ65" s="116"/>
      <c r="AR65" s="116"/>
      <c r="AS65" s="116"/>
      <c r="AT65" s="52"/>
      <c r="AU65" s="105"/>
    </row>
    <row r="66" spans="1:47" hidden="1" outlineLevel="1" x14ac:dyDescent="0.2">
      <c r="A66" s="88">
        <v>14</v>
      </c>
      <c r="B66" s="32" t="s">
        <v>131</v>
      </c>
      <c r="C66" s="189">
        <v>20000</v>
      </c>
      <c r="D66" s="189">
        <v>26558.030000000006</v>
      </c>
      <c r="E66" s="189">
        <v>0</v>
      </c>
      <c r="F66" s="189">
        <v>0</v>
      </c>
      <c r="G66" s="189">
        <v>0</v>
      </c>
      <c r="H66" s="189">
        <v>0</v>
      </c>
      <c r="I66" s="189">
        <f t="shared" ref="I66:I71" si="14">SUM(C66:H66)</f>
        <v>46558.030000000006</v>
      </c>
      <c r="J66" s="214"/>
      <c r="K66" s="50"/>
      <c r="L66" s="207"/>
      <c r="M66" s="207"/>
      <c r="N66" s="207"/>
      <c r="O66" s="207"/>
      <c r="P66" s="207"/>
      <c r="Q66" s="207"/>
      <c r="R66" s="52"/>
      <c r="S66" s="166">
        <v>0</v>
      </c>
      <c r="T66" s="166">
        <v>0</v>
      </c>
      <c r="U66" s="166">
        <v>0</v>
      </c>
      <c r="V66" s="166">
        <v>0</v>
      </c>
      <c r="W66" s="166">
        <v>0</v>
      </c>
      <c r="X66" s="166">
        <v>0</v>
      </c>
      <c r="Y66" s="166">
        <v>0</v>
      </c>
      <c r="Z66" s="166">
        <v>0</v>
      </c>
      <c r="AA66" s="166">
        <v>0</v>
      </c>
      <c r="AB66" s="166">
        <v>0</v>
      </c>
      <c r="AC66" s="166">
        <v>0</v>
      </c>
      <c r="AD66" s="166">
        <v>0</v>
      </c>
      <c r="AE66" s="166">
        <v>0</v>
      </c>
      <c r="AF66" s="167">
        <f t="shared" ref="AF66:AF71" si="15">SUM(S66:AE66)</f>
        <v>0</v>
      </c>
      <c r="AG66" s="50"/>
      <c r="AH66" s="207"/>
      <c r="AI66" s="207"/>
      <c r="AJ66" s="207"/>
      <c r="AK66" s="207"/>
      <c r="AL66" s="207"/>
      <c r="AM66" s="207"/>
      <c r="AN66" s="207"/>
      <c r="AO66" s="207"/>
      <c r="AP66" s="207"/>
      <c r="AQ66" s="207"/>
      <c r="AR66" s="207"/>
      <c r="AS66" s="207"/>
      <c r="AT66" s="50"/>
      <c r="AU66" s="98"/>
    </row>
    <row r="67" spans="1:47" hidden="1" outlineLevel="1" x14ac:dyDescent="0.2">
      <c r="A67" s="88">
        <v>14</v>
      </c>
      <c r="B67" s="32" t="s">
        <v>132</v>
      </c>
      <c r="C67" s="189">
        <v>819293</v>
      </c>
      <c r="D67" s="189">
        <v>413532.35000000009</v>
      </c>
      <c r="E67" s="189">
        <v>0</v>
      </c>
      <c r="F67" s="189">
        <v>0</v>
      </c>
      <c r="G67" s="189">
        <v>0</v>
      </c>
      <c r="H67" s="189">
        <v>0</v>
      </c>
      <c r="I67" s="189">
        <f t="shared" si="14"/>
        <v>1232825.3500000001</v>
      </c>
      <c r="J67" s="214"/>
      <c r="K67" s="50"/>
      <c r="L67" s="207"/>
      <c r="M67" s="207"/>
      <c r="N67" s="207"/>
      <c r="O67" s="207"/>
      <c r="P67" s="207"/>
      <c r="Q67" s="207"/>
      <c r="R67" s="50"/>
      <c r="S67" s="166">
        <v>0</v>
      </c>
      <c r="T67" s="166">
        <v>0</v>
      </c>
      <c r="U67" s="166">
        <v>0</v>
      </c>
      <c r="V67" s="166">
        <v>0</v>
      </c>
      <c r="W67" s="166">
        <v>0</v>
      </c>
      <c r="X67" s="166">
        <v>0</v>
      </c>
      <c r="Y67" s="166">
        <v>0</v>
      </c>
      <c r="Z67" s="166">
        <v>0</v>
      </c>
      <c r="AA67" s="166">
        <v>0</v>
      </c>
      <c r="AB67" s="166">
        <v>0</v>
      </c>
      <c r="AC67" s="166">
        <v>0</v>
      </c>
      <c r="AD67" s="166">
        <v>0</v>
      </c>
      <c r="AE67" s="166">
        <v>0</v>
      </c>
      <c r="AF67" s="167">
        <f t="shared" si="15"/>
        <v>0</v>
      </c>
      <c r="AG67" s="50"/>
      <c r="AH67" s="207"/>
      <c r="AI67" s="207"/>
      <c r="AJ67" s="207"/>
      <c r="AK67" s="207"/>
      <c r="AL67" s="207"/>
      <c r="AM67" s="207"/>
      <c r="AN67" s="207"/>
      <c r="AO67" s="207"/>
      <c r="AP67" s="207"/>
      <c r="AQ67" s="207"/>
      <c r="AR67" s="207"/>
      <c r="AS67" s="207"/>
      <c r="AT67" s="50"/>
      <c r="AU67" s="98"/>
    </row>
    <row r="68" spans="1:47" hidden="1" outlineLevel="1" x14ac:dyDescent="0.2">
      <c r="A68" s="88">
        <v>14</v>
      </c>
      <c r="B68" s="32" t="s">
        <v>133</v>
      </c>
      <c r="C68" s="189">
        <v>234901</v>
      </c>
      <c r="D68" s="189">
        <v>99135.83</v>
      </c>
      <c r="E68" s="189">
        <v>0</v>
      </c>
      <c r="F68" s="189">
        <v>0</v>
      </c>
      <c r="G68" s="189">
        <v>0</v>
      </c>
      <c r="H68" s="189">
        <v>0</v>
      </c>
      <c r="I68" s="189">
        <f t="shared" si="14"/>
        <v>334036.83</v>
      </c>
      <c r="J68" s="214"/>
      <c r="K68" s="50"/>
      <c r="L68" s="207"/>
      <c r="M68" s="207"/>
      <c r="N68" s="207"/>
      <c r="O68" s="207"/>
      <c r="P68" s="207"/>
      <c r="Q68" s="207"/>
      <c r="R68" s="50"/>
      <c r="S68" s="166">
        <v>0</v>
      </c>
      <c r="T68" s="166">
        <v>0</v>
      </c>
      <c r="U68" s="166">
        <v>0</v>
      </c>
      <c r="V68" s="166">
        <v>0</v>
      </c>
      <c r="W68" s="166">
        <v>0</v>
      </c>
      <c r="X68" s="166">
        <v>0</v>
      </c>
      <c r="Y68" s="166">
        <v>0</v>
      </c>
      <c r="Z68" s="166">
        <v>0</v>
      </c>
      <c r="AA68" s="166">
        <v>0</v>
      </c>
      <c r="AB68" s="166">
        <v>0</v>
      </c>
      <c r="AC68" s="166">
        <v>0</v>
      </c>
      <c r="AD68" s="166">
        <v>0</v>
      </c>
      <c r="AE68" s="166">
        <v>0</v>
      </c>
      <c r="AF68" s="167">
        <f t="shared" si="15"/>
        <v>0</v>
      </c>
      <c r="AG68" s="50"/>
      <c r="AH68" s="207"/>
      <c r="AI68" s="207"/>
      <c r="AJ68" s="207"/>
      <c r="AK68" s="207"/>
      <c r="AL68" s="207"/>
      <c r="AM68" s="207"/>
      <c r="AN68" s="207"/>
      <c r="AO68" s="207"/>
      <c r="AP68" s="207"/>
      <c r="AQ68" s="207"/>
      <c r="AR68" s="207"/>
      <c r="AS68" s="207"/>
      <c r="AT68" s="50"/>
      <c r="AU68" s="98"/>
    </row>
    <row r="69" spans="1:47" hidden="1" outlineLevel="1" x14ac:dyDescent="0.2">
      <c r="A69" s="88">
        <v>14</v>
      </c>
      <c r="B69" s="32" t="s">
        <v>134</v>
      </c>
      <c r="C69" s="189">
        <f>'[14]Hampton Revenue'!$B$11</f>
        <v>44000</v>
      </c>
      <c r="D69" s="189">
        <f>'[14]Hampton Revenue'!$B$3</f>
        <v>53758.509999999995</v>
      </c>
      <c r="E69" s="189">
        <v>0</v>
      </c>
      <c r="F69" s="189">
        <v>0</v>
      </c>
      <c r="G69" s="189">
        <v>0</v>
      </c>
      <c r="H69" s="189">
        <v>0</v>
      </c>
      <c r="I69" s="189">
        <f t="shared" si="14"/>
        <v>97758.51</v>
      </c>
      <c r="J69" s="214"/>
      <c r="K69" s="50"/>
      <c r="L69" s="207"/>
      <c r="M69" s="207"/>
      <c r="N69" s="207"/>
      <c r="O69" s="207"/>
      <c r="P69" s="207"/>
      <c r="Q69" s="207"/>
      <c r="R69" s="50"/>
      <c r="S69" s="166">
        <v>0</v>
      </c>
      <c r="T69" s="166">
        <v>0</v>
      </c>
      <c r="U69" s="166">
        <v>0</v>
      </c>
      <c r="V69" s="166">
        <v>0</v>
      </c>
      <c r="W69" s="166">
        <v>0</v>
      </c>
      <c r="X69" s="166">
        <v>0</v>
      </c>
      <c r="Y69" s="166">
        <v>0</v>
      </c>
      <c r="Z69" s="166">
        <v>0</v>
      </c>
      <c r="AA69" s="166">
        <v>0</v>
      </c>
      <c r="AB69" s="166">
        <v>0</v>
      </c>
      <c r="AC69" s="166">
        <v>0</v>
      </c>
      <c r="AD69" s="166">
        <v>0</v>
      </c>
      <c r="AE69" s="166">
        <v>0</v>
      </c>
      <c r="AF69" s="167">
        <f t="shared" si="15"/>
        <v>0</v>
      </c>
      <c r="AG69" s="50"/>
      <c r="AH69" s="207"/>
      <c r="AI69" s="207"/>
      <c r="AJ69" s="207"/>
      <c r="AK69" s="207"/>
      <c r="AL69" s="207"/>
      <c r="AM69" s="207"/>
      <c r="AN69" s="207"/>
      <c r="AO69" s="207"/>
      <c r="AP69" s="207"/>
      <c r="AQ69" s="207"/>
      <c r="AR69" s="207"/>
      <c r="AS69" s="207"/>
      <c r="AT69" s="50"/>
      <c r="AU69" s="98"/>
    </row>
    <row r="70" spans="1:47" ht="13.5" hidden="1" outlineLevel="1" thickBot="1" x14ac:dyDescent="0.25">
      <c r="A70" s="88">
        <v>14</v>
      </c>
      <c r="B70" s="32" t="s">
        <v>135</v>
      </c>
      <c r="C70" s="190">
        <f>'[14]Jasper Revenue'!$B$11</f>
        <v>124000</v>
      </c>
      <c r="D70" s="190">
        <f>'[14]Jasper Revenue'!$B$3</f>
        <v>63156.69</v>
      </c>
      <c r="E70" s="190">
        <v>0</v>
      </c>
      <c r="F70" s="190">
        <v>0</v>
      </c>
      <c r="G70" s="190">
        <v>0</v>
      </c>
      <c r="H70" s="190">
        <v>0</v>
      </c>
      <c r="I70" s="190">
        <f t="shared" si="14"/>
        <v>187156.69</v>
      </c>
      <c r="J70" s="214"/>
      <c r="K70" s="50"/>
      <c r="L70" s="207"/>
      <c r="M70" s="207"/>
      <c r="N70" s="207"/>
      <c r="O70" s="207"/>
      <c r="P70" s="207"/>
      <c r="Q70" s="207"/>
      <c r="R70" s="50"/>
      <c r="S70" s="168">
        <v>0</v>
      </c>
      <c r="T70" s="168">
        <v>0</v>
      </c>
      <c r="U70" s="168">
        <v>0</v>
      </c>
      <c r="V70" s="168">
        <v>0</v>
      </c>
      <c r="W70" s="168">
        <v>0</v>
      </c>
      <c r="X70" s="168">
        <v>0</v>
      </c>
      <c r="Y70" s="168">
        <v>0</v>
      </c>
      <c r="Z70" s="168">
        <v>0</v>
      </c>
      <c r="AA70" s="168">
        <v>0</v>
      </c>
      <c r="AB70" s="168">
        <v>0</v>
      </c>
      <c r="AC70" s="168">
        <v>0</v>
      </c>
      <c r="AD70" s="168">
        <v>0</v>
      </c>
      <c r="AE70" s="168">
        <v>0</v>
      </c>
      <c r="AF70" s="169">
        <f t="shared" si="15"/>
        <v>0</v>
      </c>
      <c r="AG70" s="50"/>
      <c r="AH70" s="207"/>
      <c r="AI70" s="207"/>
      <c r="AJ70" s="207"/>
      <c r="AK70" s="207"/>
      <c r="AL70" s="207"/>
      <c r="AM70" s="207"/>
      <c r="AN70" s="207"/>
      <c r="AO70" s="207"/>
      <c r="AP70" s="207"/>
      <c r="AQ70" s="207"/>
      <c r="AR70" s="207"/>
      <c r="AS70" s="207"/>
      <c r="AT70" s="50"/>
      <c r="AU70" s="103"/>
    </row>
    <row r="71" spans="1:47" collapsed="1" x14ac:dyDescent="0.2">
      <c r="A71" s="40">
        <v>14</v>
      </c>
      <c r="B71" s="45" t="s">
        <v>4</v>
      </c>
      <c r="C71" s="191">
        <f t="shared" ref="C71:H71" si="16">SUM(C66:C70)</f>
        <v>1242194</v>
      </c>
      <c r="D71" s="191">
        <f t="shared" si="16"/>
        <v>656141.41000000015</v>
      </c>
      <c r="E71" s="191">
        <f t="shared" si="16"/>
        <v>0</v>
      </c>
      <c r="F71" s="191">
        <f t="shared" si="16"/>
        <v>0</v>
      </c>
      <c r="G71" s="191">
        <f t="shared" si="16"/>
        <v>0</v>
      </c>
      <c r="H71" s="191">
        <f t="shared" si="16"/>
        <v>0</v>
      </c>
      <c r="I71" s="191">
        <f t="shared" si="14"/>
        <v>1898335.4100000001</v>
      </c>
      <c r="J71" s="216"/>
      <c r="K71" s="93"/>
      <c r="L71" s="207">
        <f>C71/I71</f>
        <v>0.65435960023523976</v>
      </c>
      <c r="M71" s="207">
        <f>D71/I71</f>
        <v>0.3456403997647603</v>
      </c>
      <c r="N71" s="207">
        <f>E71/I71</f>
        <v>0</v>
      </c>
      <c r="O71" s="207">
        <f>F71/I71</f>
        <v>0</v>
      </c>
      <c r="P71" s="207">
        <f>G71/I71</f>
        <v>0</v>
      </c>
      <c r="Q71" s="207">
        <f>H71/I71</f>
        <v>0</v>
      </c>
      <c r="R71" s="50"/>
      <c r="S71" s="171">
        <v>1138196.48</v>
      </c>
      <c r="T71" s="171">
        <f>67673.14+259909.94+125383.23+22483.92</f>
        <v>475450.23</v>
      </c>
      <c r="U71" s="171">
        <v>51621.77</v>
      </c>
      <c r="V71" s="171">
        <v>357.97</v>
      </c>
      <c r="W71" s="171">
        <v>1743.61</v>
      </c>
      <c r="X71" s="171">
        <v>0</v>
      </c>
      <c r="Y71" s="171">
        <v>0</v>
      </c>
      <c r="Z71" s="171">
        <v>11680.89</v>
      </c>
      <c r="AA71" s="171">
        <v>0</v>
      </c>
      <c r="AB71" s="171">
        <v>105347.03</v>
      </c>
      <c r="AC71" s="171">
        <v>17029.23</v>
      </c>
      <c r="AD71" s="171">
        <v>3713.59</v>
      </c>
      <c r="AE71" s="171">
        <f>14895.71+11205.26+4754.77</f>
        <v>30855.74</v>
      </c>
      <c r="AF71" s="172">
        <f t="shared" si="15"/>
        <v>1835996.54</v>
      </c>
      <c r="AG71" s="93"/>
      <c r="AH71" s="207">
        <f>(S71+T71)/AF71</f>
        <v>0.87889419987686901</v>
      </c>
      <c r="AI71" s="207">
        <f>U71/AF71</f>
        <v>2.8116485448278675E-2</v>
      </c>
      <c r="AJ71" s="207">
        <f>V71/AF71</f>
        <v>1.949731343175625E-4</v>
      </c>
      <c r="AK71" s="207">
        <f>W71/AF71</f>
        <v>9.4968043894026071E-4</v>
      </c>
      <c r="AL71" s="207">
        <f>X71/AF71</f>
        <v>0</v>
      </c>
      <c r="AM71" s="207">
        <f>Y71/AF71</f>
        <v>0</v>
      </c>
      <c r="AN71" s="207">
        <f>Z71/AF71</f>
        <v>6.3621525125532093E-3</v>
      </c>
      <c r="AO71" s="207">
        <f>AA71/AF71</f>
        <v>0</v>
      </c>
      <c r="AP71" s="207">
        <f>AB71/AF71</f>
        <v>5.7378664776786562E-2</v>
      </c>
      <c r="AQ71" s="207">
        <f>AC71/AF71</f>
        <v>9.2751972179642549E-3</v>
      </c>
      <c r="AR71" s="207">
        <f>AD71/AF71</f>
        <v>2.0226563172063496E-3</v>
      </c>
      <c r="AS71" s="207">
        <f>AE71/AF71</f>
        <v>1.6805990277084074E-2</v>
      </c>
      <c r="AT71" s="93"/>
      <c r="AU71" s="124">
        <f>I71-AF71</f>
        <v>62338.870000000112</v>
      </c>
    </row>
    <row r="72" spans="1:47" x14ac:dyDescent="0.2">
      <c r="A72" s="72"/>
      <c r="B72" s="72"/>
      <c r="C72" s="30"/>
      <c r="D72" s="30"/>
      <c r="E72" s="30"/>
      <c r="F72" s="30"/>
      <c r="G72" s="30"/>
      <c r="H72" s="30"/>
      <c r="I72" s="30"/>
      <c r="J72" s="30"/>
      <c r="K72" s="52"/>
      <c r="L72" s="218"/>
      <c r="M72" s="218"/>
      <c r="N72" s="218"/>
      <c r="O72" s="218"/>
      <c r="P72" s="218"/>
      <c r="Q72" s="218"/>
      <c r="R72" s="89"/>
      <c r="S72" s="116"/>
      <c r="T72" s="116"/>
      <c r="U72" s="116"/>
      <c r="V72" s="116"/>
      <c r="W72" s="116"/>
      <c r="X72" s="116"/>
      <c r="Y72" s="116"/>
      <c r="Z72" s="116"/>
      <c r="AA72" s="116"/>
      <c r="AB72" s="116"/>
      <c r="AC72" s="116"/>
      <c r="AD72" s="116"/>
      <c r="AE72" s="116"/>
      <c r="AF72" s="116"/>
      <c r="AG72" s="52"/>
      <c r="AH72" s="116"/>
      <c r="AI72" s="116"/>
      <c r="AJ72" s="116"/>
      <c r="AK72" s="116"/>
      <c r="AL72" s="116"/>
      <c r="AM72" s="116"/>
      <c r="AN72" s="116"/>
      <c r="AO72" s="116"/>
      <c r="AP72" s="116"/>
      <c r="AQ72" s="116"/>
      <c r="AR72" s="116"/>
      <c r="AS72" s="116"/>
      <c r="AT72" s="52"/>
      <c r="AU72" s="105"/>
    </row>
    <row r="73" spans="1:47" hidden="1" outlineLevel="1" x14ac:dyDescent="0.2">
      <c r="A73" s="88">
        <v>15</v>
      </c>
      <c r="B73" s="32" t="s">
        <v>136</v>
      </c>
      <c r="C73" s="189">
        <v>126100</v>
      </c>
      <c r="D73" s="189">
        <v>153342.56</v>
      </c>
      <c r="E73" s="189">
        <v>0</v>
      </c>
      <c r="F73" s="189">
        <v>0</v>
      </c>
      <c r="G73" s="189">
        <v>0</v>
      </c>
      <c r="H73" s="189">
        <v>0</v>
      </c>
      <c r="I73" s="189">
        <f>SUM(C73:H73)</f>
        <v>279442.56</v>
      </c>
      <c r="J73" s="214"/>
      <c r="K73" s="50"/>
      <c r="L73" s="207"/>
      <c r="M73" s="207"/>
      <c r="N73" s="207"/>
      <c r="O73" s="207"/>
      <c r="P73" s="207"/>
      <c r="Q73" s="207"/>
      <c r="R73" s="52"/>
      <c r="S73" s="166">
        <v>154247</v>
      </c>
      <c r="T73" s="166">
        <f>11800+17322+17060+508</f>
        <v>46690</v>
      </c>
      <c r="U73" s="166">
        <v>0</v>
      </c>
      <c r="V73" s="166">
        <v>500</v>
      </c>
      <c r="W73" s="166">
        <v>1500</v>
      </c>
      <c r="X73" s="166">
        <v>2000</v>
      </c>
      <c r="Y73" s="166">
        <v>0</v>
      </c>
      <c r="Z73" s="166">
        <v>2000</v>
      </c>
      <c r="AA73" s="166">
        <v>3000</v>
      </c>
      <c r="AB73" s="166">
        <v>500</v>
      </c>
      <c r="AC73" s="166">
        <v>900</v>
      </c>
      <c r="AD73" s="166">
        <v>0</v>
      </c>
      <c r="AE73" s="166">
        <f>500+4000</f>
        <v>4500</v>
      </c>
      <c r="AF73" s="167">
        <f>SUM(S73:AE73)</f>
        <v>215837</v>
      </c>
      <c r="AG73" s="50"/>
      <c r="AH73" s="207"/>
      <c r="AI73" s="207"/>
      <c r="AJ73" s="207"/>
      <c r="AK73" s="207"/>
      <c r="AL73" s="207"/>
      <c r="AM73" s="207"/>
      <c r="AN73" s="207"/>
      <c r="AO73" s="207"/>
      <c r="AP73" s="207"/>
      <c r="AQ73" s="207"/>
      <c r="AR73" s="207"/>
      <c r="AS73" s="207"/>
      <c r="AT73" s="50"/>
      <c r="AU73" s="98">
        <f>I73-AF73</f>
        <v>63605.56</v>
      </c>
    </row>
    <row r="74" spans="1:47" ht="13.5" hidden="1" outlineLevel="1" thickBot="1" x14ac:dyDescent="0.25">
      <c r="A74" s="88">
        <v>15</v>
      </c>
      <c r="B74" s="32" t="s">
        <v>137</v>
      </c>
      <c r="C74" s="190">
        <f>'[15]Horry Revenue '!$B$11</f>
        <v>989354</v>
      </c>
      <c r="D74" s="190">
        <f>'[15]Horry Revenue '!$B$3</f>
        <v>686423.88</v>
      </c>
      <c r="E74" s="190">
        <v>0</v>
      </c>
      <c r="F74" s="190">
        <v>0</v>
      </c>
      <c r="G74" s="190">
        <v>0</v>
      </c>
      <c r="H74" s="190">
        <v>0</v>
      </c>
      <c r="I74" s="190">
        <f>SUM(C74:H74)</f>
        <v>1675777.88</v>
      </c>
      <c r="J74" s="214"/>
      <c r="K74" s="50"/>
      <c r="L74" s="207"/>
      <c r="M74" s="207"/>
      <c r="N74" s="207"/>
      <c r="O74" s="207"/>
      <c r="P74" s="207"/>
      <c r="Q74" s="207"/>
      <c r="R74" s="50"/>
      <c r="S74" s="168">
        <v>1080380</v>
      </c>
      <c r="T74" s="168">
        <f>82649+122692+117762+7842</f>
        <v>330945</v>
      </c>
      <c r="U74" s="168">
        <v>5000</v>
      </c>
      <c r="V74" s="168">
        <v>2500</v>
      </c>
      <c r="W74" s="168">
        <v>1000</v>
      </c>
      <c r="X74" s="168">
        <v>15000</v>
      </c>
      <c r="Y74" s="168">
        <v>0</v>
      </c>
      <c r="Z74" s="168">
        <v>11500</v>
      </c>
      <c r="AA74" s="168">
        <v>3500</v>
      </c>
      <c r="AB74" s="168">
        <v>1000</v>
      </c>
      <c r="AC74" s="168">
        <v>28000</v>
      </c>
      <c r="AD74" s="168">
        <v>0</v>
      </c>
      <c r="AE74" s="168">
        <f>1000+33000</f>
        <v>34000</v>
      </c>
      <c r="AF74" s="169">
        <f>SUM(S74:AE74)</f>
        <v>1512825</v>
      </c>
      <c r="AG74" s="50"/>
      <c r="AH74" s="207"/>
      <c r="AI74" s="207"/>
      <c r="AJ74" s="207"/>
      <c r="AK74" s="207"/>
      <c r="AL74" s="207"/>
      <c r="AM74" s="207"/>
      <c r="AN74" s="207"/>
      <c r="AO74" s="207"/>
      <c r="AP74" s="207"/>
      <c r="AQ74" s="207"/>
      <c r="AR74" s="207"/>
      <c r="AS74" s="207"/>
      <c r="AT74" s="50"/>
      <c r="AU74" s="103">
        <f>I74-AF74</f>
        <v>162952.87999999989</v>
      </c>
    </row>
    <row r="75" spans="1:47" collapsed="1" x14ac:dyDescent="0.2">
      <c r="A75" s="40">
        <v>15</v>
      </c>
      <c r="B75" s="45" t="s">
        <v>4</v>
      </c>
      <c r="C75" s="191">
        <f t="shared" ref="C75:H75" si="17">SUM(C73:C74)</f>
        <v>1115454</v>
      </c>
      <c r="D75" s="191">
        <f t="shared" si="17"/>
        <v>839766.44</v>
      </c>
      <c r="E75" s="191">
        <f t="shared" si="17"/>
        <v>0</v>
      </c>
      <c r="F75" s="191">
        <f t="shared" si="17"/>
        <v>0</v>
      </c>
      <c r="G75" s="191">
        <f t="shared" si="17"/>
        <v>0</v>
      </c>
      <c r="H75" s="191">
        <f t="shared" si="17"/>
        <v>0</v>
      </c>
      <c r="I75" s="191">
        <f>SUM(C75:H75)</f>
        <v>1955220.44</v>
      </c>
      <c r="J75" s="216"/>
      <c r="K75" s="93"/>
      <c r="L75" s="207">
        <f>C75/I75</f>
        <v>0.57050037795226816</v>
      </c>
      <c r="M75" s="207">
        <f>D75/I75</f>
        <v>0.42949962204773184</v>
      </c>
      <c r="N75" s="207">
        <f>E75/I75</f>
        <v>0</v>
      </c>
      <c r="O75" s="207">
        <f>F75/I75</f>
        <v>0</v>
      </c>
      <c r="P75" s="207">
        <f>G75/I75</f>
        <v>0</v>
      </c>
      <c r="Q75" s="207">
        <f>H75/I75</f>
        <v>0</v>
      </c>
      <c r="R75" s="50"/>
      <c r="S75" s="171">
        <f>SUM(S73:S74)</f>
        <v>1234627</v>
      </c>
      <c r="T75" s="171">
        <f t="shared" ref="T75:AE75" si="18">SUM(T73:T74)</f>
        <v>377635</v>
      </c>
      <c r="U75" s="171">
        <f t="shared" si="18"/>
        <v>5000</v>
      </c>
      <c r="V75" s="171">
        <f t="shared" si="18"/>
        <v>3000</v>
      </c>
      <c r="W75" s="171">
        <f t="shared" si="18"/>
        <v>2500</v>
      </c>
      <c r="X75" s="171">
        <f t="shared" si="18"/>
        <v>17000</v>
      </c>
      <c r="Y75" s="171">
        <f t="shared" si="18"/>
        <v>0</v>
      </c>
      <c r="Z75" s="171">
        <f t="shared" si="18"/>
        <v>13500</v>
      </c>
      <c r="AA75" s="171">
        <f t="shared" si="18"/>
        <v>6500</v>
      </c>
      <c r="AB75" s="171">
        <f t="shared" si="18"/>
        <v>1500</v>
      </c>
      <c r="AC75" s="171">
        <f t="shared" si="18"/>
        <v>28900</v>
      </c>
      <c r="AD75" s="171">
        <f t="shared" si="18"/>
        <v>0</v>
      </c>
      <c r="AE75" s="171">
        <f t="shared" si="18"/>
        <v>38500</v>
      </c>
      <c r="AF75" s="172">
        <f>SUM(S75:AE75)</f>
        <v>1728662</v>
      </c>
      <c r="AG75" s="93"/>
      <c r="AH75" s="207">
        <f>(S75+T75)/AF75</f>
        <v>0.9326646851726943</v>
      </c>
      <c r="AI75" s="207">
        <f>U75/AF75</f>
        <v>2.8924104307261919E-3</v>
      </c>
      <c r="AJ75" s="207">
        <f>V75/AF75</f>
        <v>1.735446258435715E-3</v>
      </c>
      <c r="AK75" s="207">
        <f>W75/AF75</f>
        <v>1.4462052153630959E-3</v>
      </c>
      <c r="AL75" s="207">
        <f>X75/AF75</f>
        <v>9.8341954644690522E-3</v>
      </c>
      <c r="AM75" s="207">
        <f>Y75/AF75</f>
        <v>0</v>
      </c>
      <c r="AN75" s="207">
        <f>Z75/AF75</f>
        <v>7.8095081629607176E-3</v>
      </c>
      <c r="AO75" s="207">
        <f>AA75/AF75</f>
        <v>3.7601335599440492E-3</v>
      </c>
      <c r="AP75" s="207">
        <f>AB75/AF75</f>
        <v>8.6772312921785748E-4</v>
      </c>
      <c r="AQ75" s="207">
        <f>AC75/AF75</f>
        <v>1.6718132289597388E-2</v>
      </c>
      <c r="AR75" s="207">
        <f>AD75/AF75</f>
        <v>0</v>
      </c>
      <c r="AS75" s="207">
        <f>AE75/AF75</f>
        <v>2.2271560316591676E-2</v>
      </c>
      <c r="AT75" s="93"/>
      <c r="AU75" s="124">
        <f>I75-AF75</f>
        <v>226558.43999999994</v>
      </c>
    </row>
    <row r="76" spans="1:47" x14ac:dyDescent="0.2">
      <c r="A76" s="72"/>
      <c r="B76" s="72"/>
      <c r="C76" s="30"/>
      <c r="D76" s="30"/>
      <c r="E76" s="30"/>
      <c r="F76" s="30"/>
      <c r="G76" s="30"/>
      <c r="H76" s="30"/>
      <c r="I76" s="30"/>
      <c r="J76" s="30"/>
      <c r="K76" s="52"/>
      <c r="L76" s="218"/>
      <c r="M76" s="218"/>
      <c r="N76" s="218"/>
      <c r="O76" s="218"/>
      <c r="P76" s="218"/>
      <c r="Q76" s="218"/>
      <c r="R76" s="89"/>
      <c r="S76" s="116"/>
      <c r="T76" s="116"/>
      <c r="U76" s="116"/>
      <c r="V76" s="116"/>
      <c r="W76" s="116"/>
      <c r="X76" s="116"/>
      <c r="Y76" s="116"/>
      <c r="Z76" s="116"/>
      <c r="AA76" s="116"/>
      <c r="AB76" s="116"/>
      <c r="AC76" s="116"/>
      <c r="AD76" s="116"/>
      <c r="AE76" s="116"/>
      <c r="AF76" s="116"/>
      <c r="AG76" s="52"/>
      <c r="AH76" s="116"/>
      <c r="AI76" s="116"/>
      <c r="AJ76" s="116"/>
      <c r="AK76" s="116"/>
      <c r="AL76" s="116"/>
      <c r="AM76" s="116"/>
      <c r="AN76" s="116"/>
      <c r="AO76" s="116"/>
      <c r="AP76" s="116"/>
      <c r="AQ76" s="116"/>
      <c r="AR76" s="116"/>
      <c r="AS76" s="116"/>
      <c r="AT76" s="52"/>
      <c r="AU76" s="105"/>
    </row>
    <row r="77" spans="1:47" hidden="1" outlineLevel="1" x14ac:dyDescent="0.2">
      <c r="A77" s="88">
        <v>16</v>
      </c>
      <c r="B77" s="32" t="s">
        <v>138</v>
      </c>
      <c r="C77" s="189">
        <f>'[16]Union Revenue'!$B$11</f>
        <v>100822</v>
      </c>
      <c r="D77" s="189">
        <f>'[16]Union Revenue'!$B$3</f>
        <v>73821.710000000006</v>
      </c>
      <c r="E77" s="189">
        <v>0</v>
      </c>
      <c r="F77" s="189">
        <v>0</v>
      </c>
      <c r="G77" s="189">
        <v>0</v>
      </c>
      <c r="H77" s="189">
        <v>0</v>
      </c>
      <c r="I77" s="189">
        <f>SUM(C77:H77)</f>
        <v>174643.71000000002</v>
      </c>
      <c r="J77" s="214"/>
      <c r="K77" s="50"/>
      <c r="L77" s="207"/>
      <c r="M77" s="207"/>
      <c r="N77" s="207"/>
      <c r="O77" s="207"/>
      <c r="P77" s="207"/>
      <c r="Q77" s="207"/>
      <c r="R77" s="52"/>
      <c r="S77" s="166">
        <v>0</v>
      </c>
      <c r="T77" s="166">
        <v>0</v>
      </c>
      <c r="U77" s="166">
        <v>0</v>
      </c>
      <c r="V77" s="166">
        <v>0</v>
      </c>
      <c r="W77" s="166">
        <v>0</v>
      </c>
      <c r="X77" s="166">
        <v>0</v>
      </c>
      <c r="Y77" s="166">
        <v>0</v>
      </c>
      <c r="Z77" s="166">
        <v>0</v>
      </c>
      <c r="AA77" s="166">
        <v>0</v>
      </c>
      <c r="AB77" s="166">
        <v>0</v>
      </c>
      <c r="AC77" s="166">
        <v>0</v>
      </c>
      <c r="AD77" s="166">
        <v>0</v>
      </c>
      <c r="AE77" s="166">
        <v>0</v>
      </c>
      <c r="AF77" s="167">
        <f>SUM(S77:AE77)</f>
        <v>0</v>
      </c>
      <c r="AG77" s="50"/>
      <c r="AH77" s="207"/>
      <c r="AI77" s="207"/>
      <c r="AJ77" s="207"/>
      <c r="AK77" s="207"/>
      <c r="AL77" s="207"/>
      <c r="AM77" s="207"/>
      <c r="AN77" s="207"/>
      <c r="AO77" s="207"/>
      <c r="AP77" s="207"/>
      <c r="AQ77" s="207"/>
      <c r="AR77" s="207"/>
      <c r="AS77" s="207"/>
      <c r="AT77" s="50"/>
      <c r="AU77" s="98"/>
    </row>
    <row r="78" spans="1:47" ht="13.5" hidden="1" outlineLevel="1" thickBot="1" x14ac:dyDescent="0.25">
      <c r="A78" s="88">
        <v>16</v>
      </c>
      <c r="B78" s="32" t="s">
        <v>139</v>
      </c>
      <c r="C78" s="190">
        <f>'[16]York Revenue '!$B$11</f>
        <v>1369721</v>
      </c>
      <c r="D78" s="190">
        <f>'[16]York Revenue '!$B$3</f>
        <v>576261.69000000006</v>
      </c>
      <c r="E78" s="190">
        <v>0</v>
      </c>
      <c r="F78" s="190">
        <f>'[16]York Revenue '!$B$13</f>
        <v>15000</v>
      </c>
      <c r="G78" s="190">
        <v>0</v>
      </c>
      <c r="H78" s="190">
        <v>0</v>
      </c>
      <c r="I78" s="190">
        <f>SUM(C78:H78)</f>
        <v>1960982.69</v>
      </c>
      <c r="J78" s="214"/>
      <c r="K78" s="50"/>
      <c r="L78" s="207"/>
      <c r="M78" s="207"/>
      <c r="N78" s="207"/>
      <c r="O78" s="207"/>
      <c r="P78" s="207"/>
      <c r="Q78" s="207"/>
      <c r="R78" s="50"/>
      <c r="S78" s="168">
        <v>0</v>
      </c>
      <c r="T78" s="168">
        <v>0</v>
      </c>
      <c r="U78" s="168">
        <v>0</v>
      </c>
      <c r="V78" s="168">
        <v>0</v>
      </c>
      <c r="W78" s="168">
        <v>0</v>
      </c>
      <c r="X78" s="168">
        <v>0</v>
      </c>
      <c r="Y78" s="168">
        <v>0</v>
      </c>
      <c r="Z78" s="168">
        <v>0</v>
      </c>
      <c r="AA78" s="168">
        <v>0</v>
      </c>
      <c r="AB78" s="168">
        <v>0</v>
      </c>
      <c r="AC78" s="168">
        <v>0</v>
      </c>
      <c r="AD78" s="168">
        <v>0</v>
      </c>
      <c r="AE78" s="168">
        <v>0</v>
      </c>
      <c r="AF78" s="169">
        <f>SUM(S78:AE78)</f>
        <v>0</v>
      </c>
      <c r="AG78" s="50"/>
      <c r="AH78" s="207"/>
      <c r="AI78" s="207"/>
      <c r="AJ78" s="207"/>
      <c r="AK78" s="207"/>
      <c r="AL78" s="207"/>
      <c r="AM78" s="207"/>
      <c r="AN78" s="207"/>
      <c r="AO78" s="207"/>
      <c r="AP78" s="207"/>
      <c r="AQ78" s="207"/>
      <c r="AR78" s="207"/>
      <c r="AS78" s="207"/>
      <c r="AT78" s="50"/>
      <c r="AU78" s="103"/>
    </row>
    <row r="79" spans="1:47" collapsed="1" x14ac:dyDescent="0.2">
      <c r="A79" s="40">
        <v>16</v>
      </c>
      <c r="B79" s="45" t="s">
        <v>4</v>
      </c>
      <c r="C79" s="195">
        <f>SUM(C77:C78)</f>
        <v>1470543</v>
      </c>
      <c r="D79" s="195">
        <f>SUM(D77:D78)</f>
        <v>650083.4</v>
      </c>
      <c r="E79" s="191">
        <v>0</v>
      </c>
      <c r="F79" s="191">
        <f>SUM(F78:F78)</f>
        <v>15000</v>
      </c>
      <c r="G79" s="191">
        <v>0</v>
      </c>
      <c r="H79" s="191">
        <v>0</v>
      </c>
      <c r="I79" s="191">
        <f>SUM(C79:H79)</f>
        <v>2135626.4</v>
      </c>
      <c r="J79" s="216"/>
      <c r="K79" s="93"/>
      <c r="L79" s="207">
        <f>C79/I79</f>
        <v>0.68857689715766768</v>
      </c>
      <c r="M79" s="207">
        <f>D79/I79</f>
        <v>0.30439940244229985</v>
      </c>
      <c r="N79" s="207">
        <f>E79/I79</f>
        <v>0</v>
      </c>
      <c r="O79" s="207">
        <f>F79/I79</f>
        <v>7.0237004000325157E-3</v>
      </c>
      <c r="P79" s="207">
        <f>G79/I79</f>
        <v>0</v>
      </c>
      <c r="Q79" s="207">
        <f>H79/I79</f>
        <v>0</v>
      </c>
      <c r="R79" s="50"/>
      <c r="S79" s="171">
        <v>1465700.84</v>
      </c>
      <c r="T79" s="171">
        <f>112126.11+127560.49+166334.54+10259.91</f>
        <v>416281.05</v>
      </c>
      <c r="U79" s="171">
        <v>2201.41</v>
      </c>
      <c r="V79" s="171">
        <v>818.5</v>
      </c>
      <c r="W79" s="171">
        <v>3464.38</v>
      </c>
      <c r="X79" s="171">
        <v>1593.9</v>
      </c>
      <c r="Y79" s="171">
        <v>0</v>
      </c>
      <c r="Z79" s="171">
        <v>8639.8700000000008</v>
      </c>
      <c r="AA79" s="171">
        <v>2117.79</v>
      </c>
      <c r="AB79" s="171">
        <v>15178.25</v>
      </c>
      <c r="AC79" s="171">
        <v>2700</v>
      </c>
      <c r="AD79" s="171">
        <v>0</v>
      </c>
      <c r="AE79" s="171">
        <f>987.7+15947.82</f>
        <v>16935.52</v>
      </c>
      <c r="AF79" s="172">
        <f>SUM(S79:AE79)</f>
        <v>1935631.51</v>
      </c>
      <c r="AG79" s="93"/>
      <c r="AH79" s="207">
        <f>(S79+T79)/AF79</f>
        <v>0.97228314391306847</v>
      </c>
      <c r="AI79" s="207">
        <f>U79/AF79</f>
        <v>1.1373084125914027E-3</v>
      </c>
      <c r="AJ79" s="207">
        <f>V79/AF79</f>
        <v>4.2285941088032812E-4</v>
      </c>
      <c r="AK79" s="207">
        <f>W79/AF79</f>
        <v>1.7897931409475763E-3</v>
      </c>
      <c r="AL79" s="207">
        <f>X79/AF79</f>
        <v>8.2345218692993899E-4</v>
      </c>
      <c r="AM79" s="207">
        <f>Y79/AF79</f>
        <v>0</v>
      </c>
      <c r="AN79" s="207">
        <f>Z79/AF79</f>
        <v>4.4635923497649615E-3</v>
      </c>
      <c r="AO79" s="207">
        <f>AA79/AF79</f>
        <v>1.0941080412562615E-3</v>
      </c>
      <c r="AP79" s="207">
        <f>AB79/AF79</f>
        <v>7.841497682583189E-3</v>
      </c>
      <c r="AQ79" s="207">
        <f>AC79/AF79</f>
        <v>1.3948935972839169E-3</v>
      </c>
      <c r="AR79" s="207">
        <f>AD79/AF79</f>
        <v>0</v>
      </c>
      <c r="AS79" s="207">
        <f>AE79/AF79</f>
        <v>8.7493512646939706E-3</v>
      </c>
      <c r="AT79" s="93"/>
      <c r="AU79" s="124">
        <f>I79-AF79</f>
        <v>199994.8899999999</v>
      </c>
    </row>
    <row r="80" spans="1:47" x14ac:dyDescent="0.2">
      <c r="A80" s="72"/>
      <c r="B80" s="95"/>
      <c r="C80" s="30"/>
      <c r="D80" s="30"/>
      <c r="E80" s="30"/>
      <c r="F80" s="30"/>
      <c r="G80" s="30"/>
      <c r="H80" s="30"/>
      <c r="I80" s="30"/>
      <c r="J80" s="30"/>
      <c r="K80" s="52"/>
      <c r="L80" s="218"/>
      <c r="M80" s="218"/>
      <c r="N80" s="218"/>
      <c r="O80" s="218"/>
      <c r="P80" s="218"/>
      <c r="Q80" s="218"/>
      <c r="R80" s="89"/>
      <c r="S80" s="116"/>
      <c r="T80" s="116"/>
      <c r="U80" s="116"/>
      <c r="V80" s="116"/>
      <c r="W80" s="116"/>
      <c r="X80" s="116"/>
      <c r="Y80" s="116"/>
      <c r="Z80" s="116"/>
      <c r="AA80" s="116"/>
      <c r="AB80" s="116"/>
      <c r="AC80" s="116"/>
      <c r="AD80" s="116"/>
      <c r="AE80" s="116"/>
      <c r="AF80" s="116"/>
      <c r="AG80" s="52"/>
      <c r="AH80" s="116"/>
      <c r="AI80" s="116"/>
      <c r="AJ80" s="116"/>
      <c r="AK80" s="116"/>
      <c r="AL80" s="116"/>
      <c r="AM80" s="116"/>
      <c r="AN80" s="116"/>
      <c r="AO80" s="116"/>
      <c r="AP80" s="116"/>
      <c r="AQ80" s="116"/>
      <c r="AR80" s="116"/>
      <c r="AS80" s="116"/>
      <c r="AT80" s="52"/>
      <c r="AU80" s="118"/>
    </row>
    <row r="81" spans="1:47" x14ac:dyDescent="0.2">
      <c r="A81" s="88"/>
      <c r="B81" s="32"/>
      <c r="C81" s="192"/>
      <c r="D81" s="192"/>
      <c r="E81" s="192"/>
      <c r="F81" s="189"/>
      <c r="G81" s="192"/>
      <c r="H81" s="192"/>
      <c r="I81" s="192"/>
      <c r="J81" s="214"/>
      <c r="K81" s="50"/>
      <c r="L81" s="207"/>
      <c r="M81" s="207"/>
      <c r="N81" s="207"/>
      <c r="O81" s="207"/>
      <c r="P81" s="207"/>
      <c r="Q81" s="207"/>
      <c r="R81" s="52"/>
      <c r="S81" s="174"/>
      <c r="T81" s="174"/>
      <c r="U81" s="174"/>
      <c r="V81" s="174"/>
      <c r="W81" s="174"/>
      <c r="X81" s="174"/>
      <c r="Y81" s="174"/>
      <c r="Z81" s="174"/>
      <c r="AA81" s="174"/>
      <c r="AB81" s="174"/>
      <c r="AC81" s="174"/>
      <c r="AD81" s="174"/>
      <c r="AE81" s="174"/>
      <c r="AF81" s="174"/>
      <c r="AG81" s="50"/>
      <c r="AH81" s="207"/>
      <c r="AI81" s="207"/>
      <c r="AJ81" s="207"/>
      <c r="AK81" s="207"/>
      <c r="AL81" s="207"/>
      <c r="AM81" s="207"/>
      <c r="AN81" s="207"/>
      <c r="AO81" s="207"/>
      <c r="AP81" s="207"/>
      <c r="AQ81" s="207"/>
      <c r="AR81" s="207"/>
      <c r="AS81" s="207"/>
      <c r="AT81" s="50"/>
      <c r="AU81" s="119"/>
    </row>
    <row r="82" spans="1:47" x14ac:dyDescent="0.2">
      <c r="A82" s="88"/>
      <c r="B82" s="87" t="s">
        <v>48</v>
      </c>
      <c r="C82" s="195">
        <f t="shared" ref="C82:H82" si="19">C79+C75+C71+C64+C60+C56+C50+C46+C42+C36+C32+C27+C23+C17+C11+C6</f>
        <v>16529059</v>
      </c>
      <c r="D82" s="195">
        <f t="shared" si="19"/>
        <v>11790065.770000003</v>
      </c>
      <c r="E82" s="195">
        <f t="shared" si="19"/>
        <v>0</v>
      </c>
      <c r="F82" s="195">
        <f t="shared" si="19"/>
        <v>247000</v>
      </c>
      <c r="G82" s="195">
        <f t="shared" si="19"/>
        <v>368156.68</v>
      </c>
      <c r="H82" s="195">
        <f t="shared" si="19"/>
        <v>12000</v>
      </c>
      <c r="I82" s="195">
        <f>SUM(C82:H82)</f>
        <v>28946281.450000003</v>
      </c>
      <c r="J82" s="34"/>
      <c r="K82" s="89"/>
      <c r="L82" s="208">
        <f>C82/I82</f>
        <v>0.57102529831167648</v>
      </c>
      <c r="M82" s="208">
        <f>D82/I82</f>
        <v>0.40730847554168315</v>
      </c>
      <c r="N82" s="208">
        <f>E82/I82</f>
        <v>0</v>
      </c>
      <c r="O82" s="208">
        <f>F82/I82</f>
        <v>8.5330476878922208E-3</v>
      </c>
      <c r="P82" s="208">
        <f>G82/I82</f>
        <v>1.2718617437473993E-2</v>
      </c>
      <c r="Q82" s="208">
        <f>H82/I82</f>
        <v>4.1456102127411596E-4</v>
      </c>
      <c r="R82" s="50"/>
      <c r="S82" s="175">
        <f t="shared" ref="S82:AF82" si="20">SUM(S6+S11+S17+S23+S27+S32+S36+S42+S46+S50+S56+S60+S64+S71+S75+S79)</f>
        <v>19738511.899999999</v>
      </c>
      <c r="T82" s="175">
        <f t="shared" si="20"/>
        <v>5266236.76</v>
      </c>
      <c r="U82" s="175">
        <f t="shared" si="20"/>
        <v>164014.70000000001</v>
      </c>
      <c r="V82" s="175">
        <f t="shared" si="20"/>
        <v>168823.75</v>
      </c>
      <c r="W82" s="175">
        <f t="shared" si="20"/>
        <v>36597.06</v>
      </c>
      <c r="X82" s="175">
        <f t="shared" si="20"/>
        <v>233887.9</v>
      </c>
      <c r="Y82" s="175">
        <f t="shared" si="20"/>
        <v>29560.28</v>
      </c>
      <c r="Z82" s="175">
        <f t="shared" si="20"/>
        <v>172632.59999999998</v>
      </c>
      <c r="AA82" s="175">
        <f t="shared" si="20"/>
        <v>72405.569999999992</v>
      </c>
      <c r="AB82" s="175">
        <f t="shared" si="20"/>
        <v>957445.89</v>
      </c>
      <c r="AC82" s="175">
        <f t="shared" si="20"/>
        <v>258203.06</v>
      </c>
      <c r="AD82" s="175">
        <f t="shared" si="20"/>
        <v>67196.78</v>
      </c>
      <c r="AE82" s="175">
        <f t="shared" si="20"/>
        <v>724321.83</v>
      </c>
      <c r="AF82" s="175">
        <f t="shared" si="20"/>
        <v>27889838.080000002</v>
      </c>
      <c r="AG82" s="89"/>
      <c r="AH82" s="208">
        <f>(S82+T82)/AF82</f>
        <v>0.89655409932017771</v>
      </c>
      <c r="AI82" s="208">
        <f>U82/AF82</f>
        <v>5.8808050276066715E-3</v>
      </c>
      <c r="AJ82" s="208">
        <f>V82/AF82</f>
        <v>6.0532352147667969E-3</v>
      </c>
      <c r="AK82" s="208">
        <f>W82/AF82</f>
        <v>1.3122005188780212E-3</v>
      </c>
      <c r="AL82" s="208">
        <f>X82/AF82</f>
        <v>8.3861333052242647E-3</v>
      </c>
      <c r="AM82" s="208">
        <f>Y82/AF82</f>
        <v>1.0598942853382101E-3</v>
      </c>
      <c r="AN82" s="208">
        <f>Z82/AF82</f>
        <v>6.1898028774787341E-3</v>
      </c>
      <c r="AO82" s="208">
        <f>AA82/AF82</f>
        <v>2.5961272988502052E-3</v>
      </c>
      <c r="AP82" s="208">
        <f>AB82/AF82</f>
        <v>3.43295607257968E-2</v>
      </c>
      <c r="AQ82" s="208">
        <f>AC82/AF82</f>
        <v>9.2579619594550175E-3</v>
      </c>
      <c r="AR82" s="208">
        <f>AD82/AF82</f>
        <v>2.409364292730953E-3</v>
      </c>
      <c r="AS82" s="208">
        <f>AE82/AF82</f>
        <v>2.5970815173696409E-2</v>
      </c>
      <c r="AT82" s="89"/>
      <c r="AU82" s="120">
        <f>SUM(AU6+AU11+AU17+AU23+AU27+AU32+AU36+AU42+AU46+AU50+AU56+AU60+AU64+AU71+AU75+AU79)</f>
        <v>1056443.3700000006</v>
      </c>
    </row>
    <row r="83" spans="1:47" x14ac:dyDescent="0.2">
      <c r="R83" s="34"/>
    </row>
  </sheetData>
  <mergeCells count="4">
    <mergeCell ref="C1:J1"/>
    <mergeCell ref="S1:AF1"/>
    <mergeCell ref="L1:Q1"/>
    <mergeCell ref="AH1:AS1"/>
  </mergeCells>
  <pageMargins left="0.7" right="0.7" top="0.75" bottom="0.75" header="0.3" footer="0.3"/>
  <pageSetup paperSize="5" scale="50" fitToHeight="0" orientation="landscape" r:id="rId1"/>
  <headerFooter>
    <oddHeader>&amp;CIndigent Defense Revenue and Expenses (FY15-16)</oddHeader>
    <oddFooter>&amp;LData and analysis based on reports submitted by Commission on Indigent Defense and Commission on Prosecution Coordination pursuant to FY15-16 Proviso 117.110 and FY16-17 Proviso 117.109</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82"/>
  <sheetViews>
    <sheetView zoomScaleNormal="100" workbookViewId="0">
      <pane xSplit="2" ySplit="2" topLeftCell="C3" activePane="bottomRight" state="frozen"/>
      <selection pane="topRight" activeCell="C1" sqref="C1"/>
      <selection pane="bottomLeft" activeCell="A3" sqref="A3"/>
      <selection pane="bottomRight" activeCell="G42" sqref="G42"/>
    </sheetView>
  </sheetViews>
  <sheetFormatPr defaultRowHeight="12.75" outlineLevelRow="1" outlineLevelCol="1" x14ac:dyDescent="0.2"/>
  <cols>
    <col min="1" max="1" width="6.7109375" style="78" bestFit="1" customWidth="1"/>
    <col min="2" max="2" width="11.5703125" customWidth="1"/>
    <col min="3" max="4" width="14.28515625" customWidth="1" outlineLevel="1"/>
    <col min="5" max="5" width="6.85546875" customWidth="1" outlineLevel="1"/>
    <col min="6" max="7" width="11.7109375" customWidth="1" outlineLevel="1"/>
    <col min="8" max="8" width="11.85546875" customWidth="1" outlineLevel="1"/>
    <col min="9" max="9" width="14.28515625" customWidth="1" outlineLevel="1"/>
    <col min="10" max="10" width="15" style="75" customWidth="1" outlineLevel="1"/>
    <col min="11" max="11" width="2.7109375" customWidth="1"/>
    <col min="12" max="12" width="10.42578125" style="221" customWidth="1" outlineLevel="1"/>
    <col min="13" max="13" width="8.42578125" style="221" customWidth="1" outlineLevel="1"/>
    <col min="14" max="14" width="8" style="221" customWidth="1" outlineLevel="1"/>
    <col min="15" max="15" width="11.7109375" style="221" customWidth="1" outlineLevel="1"/>
    <col min="16" max="16" width="6.28515625" style="221" customWidth="1" outlineLevel="1"/>
    <col min="17" max="17" width="13" style="221" customWidth="1" outlineLevel="1"/>
    <col min="18" max="18" width="2.7109375" customWidth="1"/>
    <col min="19" max="19" width="14.28515625" customWidth="1" outlineLevel="1"/>
    <col min="20" max="20" width="13.28515625" customWidth="1" outlineLevel="1"/>
    <col min="21" max="21" width="11.85546875" customWidth="1" outlineLevel="1"/>
    <col min="22" max="22" width="11.7109375" customWidth="1" outlineLevel="1"/>
    <col min="23" max="23" width="10.7109375" customWidth="1" outlineLevel="1"/>
    <col min="24" max="24" width="11.7109375" customWidth="1" outlineLevel="1"/>
    <col min="25" max="25" width="10.7109375" customWidth="1" outlineLevel="1"/>
    <col min="26" max="30" width="11.7109375" customWidth="1" outlineLevel="1"/>
    <col min="31" max="31" width="13.28515625" customWidth="1" outlineLevel="1"/>
    <col min="32" max="32" width="14.28515625" customWidth="1" outlineLevel="1"/>
    <col min="33" max="33" width="2.7109375" customWidth="1"/>
    <col min="34" max="34" width="9.85546875" style="221" hidden="1" customWidth="1" outlineLevel="1"/>
    <col min="35" max="35" width="8.28515625" style="221" hidden="1" customWidth="1" outlineLevel="1"/>
    <col min="36" max="36" width="11" style="221" hidden="1" customWidth="1" outlineLevel="1"/>
    <col min="37" max="37" width="8.28515625" style="221" hidden="1" customWidth="1" outlineLevel="1"/>
    <col min="38" max="39" width="6.5703125" style="221" hidden="1" customWidth="1" outlineLevel="1"/>
    <col min="40" max="40" width="8" style="221" hidden="1" customWidth="1" outlineLevel="1"/>
    <col min="41" max="41" width="6.5703125" style="221" hidden="1" customWidth="1" outlineLevel="1"/>
    <col min="42" max="42" width="8" style="221" hidden="1" customWidth="1" outlineLevel="1"/>
    <col min="43" max="43" width="8.140625" style="221" hidden="1" customWidth="1" outlineLevel="1"/>
    <col min="44" max="44" width="8.28515625" style="221" hidden="1" customWidth="1" outlineLevel="1"/>
    <col min="45" max="45" width="6.5703125" style="221" hidden="1" customWidth="1" outlineLevel="1"/>
    <col min="46" max="46" width="2.7109375" customWidth="1" collapsed="1"/>
    <col min="47" max="47" width="13.28515625" bestFit="1" customWidth="1"/>
  </cols>
  <sheetData>
    <row r="1" spans="1:47" x14ac:dyDescent="0.2">
      <c r="A1" s="77"/>
      <c r="B1" s="1"/>
      <c r="C1" s="285" t="s">
        <v>180</v>
      </c>
      <c r="D1" s="286"/>
      <c r="E1" s="286"/>
      <c r="F1" s="286"/>
      <c r="G1" s="286"/>
      <c r="H1" s="286"/>
      <c r="I1" s="286"/>
      <c r="J1" s="286"/>
      <c r="K1" s="15"/>
      <c r="L1" s="300" t="s">
        <v>188</v>
      </c>
      <c r="M1" s="301"/>
      <c r="N1" s="301"/>
      <c r="O1" s="301"/>
      <c r="P1" s="301"/>
      <c r="Q1" s="301"/>
      <c r="R1" s="15"/>
      <c r="S1" s="298" t="s">
        <v>181</v>
      </c>
      <c r="T1" s="299"/>
      <c r="U1" s="299"/>
      <c r="V1" s="299"/>
      <c r="W1" s="299"/>
      <c r="X1" s="299"/>
      <c r="Y1" s="299"/>
      <c r="Z1" s="299"/>
      <c r="AA1" s="299"/>
      <c r="AB1" s="299"/>
      <c r="AC1" s="299"/>
      <c r="AD1" s="299"/>
      <c r="AE1" s="299"/>
      <c r="AF1" s="299"/>
      <c r="AG1" s="15"/>
      <c r="AH1" s="302" t="s">
        <v>185</v>
      </c>
      <c r="AI1" s="303"/>
      <c r="AJ1" s="303"/>
      <c r="AK1" s="303"/>
      <c r="AL1" s="303"/>
      <c r="AM1" s="303"/>
      <c r="AN1" s="303"/>
      <c r="AO1" s="303"/>
      <c r="AP1" s="303"/>
      <c r="AQ1" s="303"/>
      <c r="AR1" s="303"/>
      <c r="AS1" s="304"/>
      <c r="AT1" s="15"/>
      <c r="AU1" s="76"/>
    </row>
    <row r="2" spans="1:47" ht="38.25" x14ac:dyDescent="0.2">
      <c r="A2" s="17" t="s">
        <v>79</v>
      </c>
      <c r="B2" s="17" t="s">
        <v>176</v>
      </c>
      <c r="C2" s="17" t="s">
        <v>172</v>
      </c>
      <c r="D2" s="17" t="s">
        <v>175</v>
      </c>
      <c r="E2" s="17" t="s">
        <v>177</v>
      </c>
      <c r="F2" s="18" t="s">
        <v>173</v>
      </c>
      <c r="G2" s="19" t="s">
        <v>178</v>
      </c>
      <c r="H2" s="17" t="s">
        <v>179</v>
      </c>
      <c r="I2" s="17" t="s">
        <v>84</v>
      </c>
      <c r="J2" s="19" t="s">
        <v>85</v>
      </c>
      <c r="K2" s="20"/>
      <c r="L2" s="209" t="s">
        <v>80</v>
      </c>
      <c r="M2" s="209" t="s">
        <v>81</v>
      </c>
      <c r="N2" s="209" t="s">
        <v>182</v>
      </c>
      <c r="O2" s="209" t="s">
        <v>183</v>
      </c>
      <c r="P2" s="209" t="s">
        <v>82</v>
      </c>
      <c r="Q2" s="209" t="s">
        <v>83</v>
      </c>
      <c r="R2" s="20"/>
      <c r="S2" s="131" t="s">
        <v>140</v>
      </c>
      <c r="T2" s="131" t="s">
        <v>141</v>
      </c>
      <c r="U2" s="132" t="s">
        <v>142</v>
      </c>
      <c r="V2" s="132" t="s">
        <v>143</v>
      </c>
      <c r="W2" s="132" t="s">
        <v>144</v>
      </c>
      <c r="X2" s="132" t="s">
        <v>145</v>
      </c>
      <c r="Y2" s="132" t="s">
        <v>146</v>
      </c>
      <c r="Z2" s="132" t="s">
        <v>147</v>
      </c>
      <c r="AA2" s="132" t="s">
        <v>148</v>
      </c>
      <c r="AB2" s="132" t="s">
        <v>149</v>
      </c>
      <c r="AC2" s="132" t="s">
        <v>150</v>
      </c>
      <c r="AD2" s="132" t="s">
        <v>151</v>
      </c>
      <c r="AE2" s="132" t="s">
        <v>82</v>
      </c>
      <c r="AF2" s="132" t="s">
        <v>65</v>
      </c>
      <c r="AG2" s="20"/>
      <c r="AH2" s="209" t="s">
        <v>184</v>
      </c>
      <c r="AI2" s="219" t="s">
        <v>142</v>
      </c>
      <c r="AJ2" s="219" t="s">
        <v>143</v>
      </c>
      <c r="AK2" s="219" t="s">
        <v>144</v>
      </c>
      <c r="AL2" s="219" t="s">
        <v>145</v>
      </c>
      <c r="AM2" s="219" t="s">
        <v>146</v>
      </c>
      <c r="AN2" s="219" t="s">
        <v>147</v>
      </c>
      <c r="AO2" s="219" t="s">
        <v>148</v>
      </c>
      <c r="AP2" s="219" t="s">
        <v>149</v>
      </c>
      <c r="AQ2" s="219" t="s">
        <v>150</v>
      </c>
      <c r="AR2" s="219" t="s">
        <v>151</v>
      </c>
      <c r="AS2" s="219" t="s">
        <v>82</v>
      </c>
      <c r="AT2" s="20"/>
      <c r="AU2" s="127" t="s">
        <v>169</v>
      </c>
    </row>
    <row r="3" spans="1:47" hidden="1" outlineLevel="1" x14ac:dyDescent="0.2">
      <c r="A3" s="88">
        <v>1</v>
      </c>
      <c r="B3" s="32" t="s">
        <v>88</v>
      </c>
      <c r="C3" s="189">
        <v>32000</v>
      </c>
      <c r="D3" s="189">
        <v>62459.589360642756</v>
      </c>
      <c r="E3" s="189">
        <v>0</v>
      </c>
      <c r="F3" s="189">
        <v>0</v>
      </c>
      <c r="G3" s="189">
        <v>0</v>
      </c>
      <c r="H3" s="189">
        <v>0</v>
      </c>
      <c r="I3" s="189">
        <f>SUM(C3:H3)</f>
        <v>94459.589360642756</v>
      </c>
      <c r="J3" s="194"/>
      <c r="K3" s="128"/>
      <c r="L3" s="207"/>
      <c r="M3" s="207"/>
      <c r="N3" s="207"/>
      <c r="O3" s="207"/>
      <c r="P3" s="207"/>
      <c r="Q3" s="207"/>
      <c r="R3" s="220"/>
      <c r="S3" s="164">
        <v>57684.89</v>
      </c>
      <c r="T3" s="164">
        <v>20678.77</v>
      </c>
      <c r="U3" s="164">
        <v>256.55</v>
      </c>
      <c r="V3" s="164">
        <v>0</v>
      </c>
      <c r="W3" s="164">
        <v>0</v>
      </c>
      <c r="X3" s="164">
        <v>4030</v>
      </c>
      <c r="Y3" s="164">
        <v>0</v>
      </c>
      <c r="Z3" s="164">
        <v>0</v>
      </c>
      <c r="AA3" s="164">
        <v>0</v>
      </c>
      <c r="AB3" s="164">
        <v>0</v>
      </c>
      <c r="AC3" s="164">
        <v>1018</v>
      </c>
      <c r="AD3" s="164">
        <v>0</v>
      </c>
      <c r="AE3" s="164">
        <v>1488.67</v>
      </c>
      <c r="AF3" s="165">
        <f>SUM(S3:AE3)</f>
        <v>85156.88</v>
      </c>
      <c r="AG3" s="128"/>
      <c r="AH3" s="207"/>
      <c r="AI3" s="207"/>
      <c r="AJ3" s="207"/>
      <c r="AK3" s="207"/>
      <c r="AL3" s="207"/>
      <c r="AM3" s="207"/>
      <c r="AN3" s="207"/>
      <c r="AO3" s="207"/>
      <c r="AP3" s="207"/>
      <c r="AQ3" s="207"/>
      <c r="AR3" s="207"/>
      <c r="AS3" s="207"/>
      <c r="AT3" s="220"/>
      <c r="AU3" s="124">
        <f>I3-AF3</f>
        <v>9302.7093606427516</v>
      </c>
    </row>
    <row r="4" spans="1:47" hidden="1" outlineLevel="1" x14ac:dyDescent="0.2">
      <c r="A4" s="88">
        <v>1</v>
      </c>
      <c r="B4" s="32" t="s">
        <v>89</v>
      </c>
      <c r="C4" s="189">
        <v>642853.5</v>
      </c>
      <c r="D4" s="189">
        <v>562053.98518237704</v>
      </c>
      <c r="E4" s="189">
        <v>0</v>
      </c>
      <c r="F4" s="189">
        <v>29050</v>
      </c>
      <c r="G4" s="189">
        <v>0</v>
      </c>
      <c r="H4" s="189">
        <v>0</v>
      </c>
      <c r="I4" s="189">
        <f>SUM(C4:H4)</f>
        <v>1233957.485182377</v>
      </c>
      <c r="J4" s="194"/>
      <c r="K4" s="121"/>
      <c r="L4" s="207"/>
      <c r="M4" s="207"/>
      <c r="N4" s="207"/>
      <c r="O4" s="207"/>
      <c r="P4" s="207"/>
      <c r="Q4" s="207"/>
      <c r="R4" s="220"/>
      <c r="S4" s="166">
        <v>769573.77</v>
      </c>
      <c r="T4" s="166">
        <v>217930.62</v>
      </c>
      <c r="U4" s="166">
        <v>7497.44</v>
      </c>
      <c r="V4" s="166">
        <v>15654.64</v>
      </c>
      <c r="W4" s="166">
        <v>2665.51</v>
      </c>
      <c r="X4" s="166">
        <v>33060</v>
      </c>
      <c r="Y4" s="166">
        <v>5860.68</v>
      </c>
      <c r="Z4" s="166">
        <v>19457.650000000001</v>
      </c>
      <c r="AA4" s="166">
        <v>26300</v>
      </c>
      <c r="AB4" s="166">
        <v>2094.4499999999998</v>
      </c>
      <c r="AC4" s="166">
        <v>28399.06</v>
      </c>
      <c r="AD4" s="166">
        <v>6627.49</v>
      </c>
      <c r="AE4" s="166">
        <v>37000.259999999995</v>
      </c>
      <c r="AF4" s="167">
        <f t="shared" ref="AF4:AF5" si="0">SUM(S4:AE4)</f>
        <v>1172121.5699999998</v>
      </c>
      <c r="AG4" s="121"/>
      <c r="AH4" s="207"/>
      <c r="AI4" s="207"/>
      <c r="AJ4" s="207"/>
      <c r="AK4" s="207"/>
      <c r="AL4" s="207"/>
      <c r="AM4" s="207"/>
      <c r="AN4" s="207"/>
      <c r="AO4" s="207"/>
      <c r="AP4" s="207"/>
      <c r="AQ4" s="207"/>
      <c r="AR4" s="207"/>
      <c r="AS4" s="207"/>
      <c r="AT4" s="220"/>
      <c r="AU4" s="98">
        <f>I4-AF4</f>
        <v>61835.915182377212</v>
      </c>
    </row>
    <row r="5" spans="1:47" ht="13.5" hidden="1" outlineLevel="1" thickBot="1" x14ac:dyDescent="0.25">
      <c r="A5" s="88">
        <v>1</v>
      </c>
      <c r="B5" s="32" t="s">
        <v>90</v>
      </c>
      <c r="C5" s="190">
        <v>620142.5</v>
      </c>
      <c r="D5" s="190">
        <v>380729.78421408992</v>
      </c>
      <c r="E5" s="190">
        <v>0</v>
      </c>
      <c r="F5" s="190">
        <v>24000</v>
      </c>
      <c r="G5" s="190">
        <v>0</v>
      </c>
      <c r="H5" s="190">
        <v>0</v>
      </c>
      <c r="I5" s="190">
        <f>SUM(C5:H5)</f>
        <v>1024872.2842140899</v>
      </c>
      <c r="J5" s="194"/>
      <c r="K5" s="121"/>
      <c r="L5" s="207"/>
      <c r="M5" s="207"/>
      <c r="N5" s="207"/>
      <c r="O5" s="207"/>
      <c r="P5" s="207"/>
      <c r="Q5" s="207"/>
      <c r="R5" s="220"/>
      <c r="S5" s="168">
        <v>586781.11</v>
      </c>
      <c r="T5" s="168">
        <v>182452.33000000002</v>
      </c>
      <c r="U5" s="168">
        <v>2185.4499999999998</v>
      </c>
      <c r="V5" s="168">
        <v>3420.77</v>
      </c>
      <c r="W5" s="168">
        <v>1897.49</v>
      </c>
      <c r="X5" s="168">
        <v>24400</v>
      </c>
      <c r="Y5" s="168">
        <v>0</v>
      </c>
      <c r="Z5" s="168">
        <v>18402.349999999999</v>
      </c>
      <c r="AA5" s="168">
        <v>24700</v>
      </c>
      <c r="AB5" s="168">
        <v>48000</v>
      </c>
      <c r="AC5" s="168">
        <v>13724.34</v>
      </c>
      <c r="AD5" s="168">
        <v>11805.94</v>
      </c>
      <c r="AE5" s="168">
        <v>22615.8</v>
      </c>
      <c r="AF5" s="169">
        <f t="shared" si="0"/>
        <v>940385.57999999984</v>
      </c>
      <c r="AG5" s="121"/>
      <c r="AH5" s="207"/>
      <c r="AI5" s="207"/>
      <c r="AJ5" s="207"/>
      <c r="AK5" s="207"/>
      <c r="AL5" s="207"/>
      <c r="AM5" s="207"/>
      <c r="AN5" s="207"/>
      <c r="AO5" s="207"/>
      <c r="AP5" s="207"/>
      <c r="AQ5" s="207"/>
      <c r="AR5" s="207"/>
      <c r="AS5" s="207"/>
      <c r="AT5" s="220"/>
      <c r="AU5" s="98">
        <f>I5-AF5</f>
        <v>84486.704214090016</v>
      </c>
    </row>
    <row r="6" spans="1:47" collapsed="1" x14ac:dyDescent="0.2">
      <c r="A6" s="40">
        <v>1</v>
      </c>
      <c r="B6" s="45" t="s">
        <v>4</v>
      </c>
      <c r="C6" s="191">
        <f t="shared" ref="C6:H6" si="1">SUM(C3:C5)</f>
        <v>1294996</v>
      </c>
      <c r="D6" s="191">
        <f t="shared" si="1"/>
        <v>1005243.3587571096</v>
      </c>
      <c r="E6" s="189">
        <f t="shared" si="1"/>
        <v>0</v>
      </c>
      <c r="F6" s="191">
        <f t="shared" si="1"/>
        <v>53050</v>
      </c>
      <c r="G6" s="189">
        <f t="shared" si="1"/>
        <v>0</v>
      </c>
      <c r="H6" s="189">
        <f t="shared" si="1"/>
        <v>0</v>
      </c>
      <c r="I6" s="191">
        <f>SUM(C6:H6)</f>
        <v>2353289.3587571094</v>
      </c>
      <c r="J6" s="195"/>
      <c r="K6" s="121"/>
      <c r="L6" s="207">
        <f>C6/I6</f>
        <v>0.55029186920045936</v>
      </c>
      <c r="M6" s="207">
        <f>D6/I6</f>
        <v>0.42716521664298401</v>
      </c>
      <c r="N6" s="207">
        <f>E6/I6</f>
        <v>0</v>
      </c>
      <c r="O6" s="207">
        <f>F6/I6</f>
        <v>2.2542914156556751E-2</v>
      </c>
      <c r="P6" s="207">
        <f>G6/I6</f>
        <v>0</v>
      </c>
      <c r="Q6" s="207">
        <f>H6/I6</f>
        <v>0</v>
      </c>
      <c r="R6" s="220"/>
      <c r="S6" s="170">
        <f>SUM(S3:S5)</f>
        <v>1414039.77</v>
      </c>
      <c r="T6" s="170">
        <f t="shared" ref="T6:AE6" si="2">SUM(T3:T5)</f>
        <v>421061.72</v>
      </c>
      <c r="U6" s="170">
        <f t="shared" si="2"/>
        <v>9939.4399999999987</v>
      </c>
      <c r="V6" s="170">
        <f t="shared" si="2"/>
        <v>19075.41</v>
      </c>
      <c r="W6" s="170">
        <f t="shared" si="2"/>
        <v>4563</v>
      </c>
      <c r="X6" s="170">
        <f t="shared" si="2"/>
        <v>61490</v>
      </c>
      <c r="Y6" s="170">
        <f t="shared" si="2"/>
        <v>5860.68</v>
      </c>
      <c r="Z6" s="170">
        <f t="shared" si="2"/>
        <v>37860</v>
      </c>
      <c r="AA6" s="170">
        <f t="shared" si="2"/>
        <v>51000</v>
      </c>
      <c r="AB6" s="170">
        <f t="shared" si="2"/>
        <v>50094.45</v>
      </c>
      <c r="AC6" s="170">
        <f t="shared" si="2"/>
        <v>43141.4</v>
      </c>
      <c r="AD6" s="170">
        <f t="shared" si="2"/>
        <v>18433.43</v>
      </c>
      <c r="AE6" s="170">
        <f t="shared" si="2"/>
        <v>61104.729999999996</v>
      </c>
      <c r="AF6" s="172">
        <f>SUM(S6:AE6)</f>
        <v>2197664.0299999998</v>
      </c>
      <c r="AG6" s="121"/>
      <c r="AH6" s="207">
        <f>(S6+T6)/AF6</f>
        <v>0.83502367284047518</v>
      </c>
      <c r="AI6" s="207">
        <f>U6/AF6</f>
        <v>4.5227295274974308E-3</v>
      </c>
      <c r="AJ6" s="207">
        <f>V6/AF6</f>
        <v>8.6798572209420017E-3</v>
      </c>
      <c r="AK6" s="207">
        <f>W6/AF6</f>
        <v>2.0762955291214373E-3</v>
      </c>
      <c r="AL6" s="207">
        <f>X6/AF6</f>
        <v>2.7979708982177776E-2</v>
      </c>
      <c r="AM6" s="207">
        <f>Y6/AF6</f>
        <v>2.6667770505394315E-3</v>
      </c>
      <c r="AN6" s="207">
        <f>Z6/AF6</f>
        <v>1.7227383022690688E-2</v>
      </c>
      <c r="AO6" s="207">
        <f>AA6/AF6</f>
        <v>2.3206458905367808E-2</v>
      </c>
      <c r="AP6" s="207">
        <f>AB6/AF6</f>
        <v>2.2794407751215731E-2</v>
      </c>
      <c r="AQ6" s="207">
        <f>AC6/AF6</f>
        <v>1.9630571102353622E-2</v>
      </c>
      <c r="AR6" s="207">
        <f>AD6/AF6</f>
        <v>8.3877379564700812E-3</v>
      </c>
      <c r="AS6" s="207">
        <f>AE6/AF6</f>
        <v>2.7804400111148927E-2</v>
      </c>
      <c r="AT6" s="220"/>
      <c r="AU6" s="124">
        <f>I6-AF6</f>
        <v>155625.32875710959</v>
      </c>
    </row>
    <row r="7" spans="1:47" x14ac:dyDescent="0.2">
      <c r="A7" s="90"/>
      <c r="B7" s="72"/>
      <c r="C7" s="26"/>
      <c r="D7" s="26"/>
      <c r="E7" s="26"/>
      <c r="F7" s="26"/>
      <c r="G7" s="26"/>
      <c r="H7" s="26"/>
      <c r="I7" s="27"/>
      <c r="J7" s="69"/>
      <c r="K7" s="121"/>
      <c r="L7" s="218"/>
      <c r="M7" s="218"/>
      <c r="N7" s="218"/>
      <c r="O7" s="218"/>
      <c r="P7" s="218"/>
      <c r="Q7" s="218"/>
      <c r="R7" s="220"/>
      <c r="S7" s="104"/>
      <c r="T7" s="104"/>
      <c r="U7" s="104"/>
      <c r="V7" s="104"/>
      <c r="W7" s="104"/>
      <c r="X7" s="104"/>
      <c r="Y7" s="104"/>
      <c r="Z7" s="104"/>
      <c r="AA7" s="104"/>
      <c r="AB7" s="104"/>
      <c r="AC7" s="104"/>
      <c r="AD7" s="104"/>
      <c r="AE7" s="104"/>
      <c r="AF7" s="81"/>
      <c r="AG7" s="121"/>
      <c r="AH7" s="116"/>
      <c r="AI7" s="116"/>
      <c r="AJ7" s="116"/>
      <c r="AK7" s="116"/>
      <c r="AL7" s="116"/>
      <c r="AM7" s="116"/>
      <c r="AN7" s="116"/>
      <c r="AO7" s="116"/>
      <c r="AP7" s="116"/>
      <c r="AQ7" s="116"/>
      <c r="AR7" s="116"/>
      <c r="AS7" s="116"/>
      <c r="AT7" s="220"/>
      <c r="AU7" s="105"/>
    </row>
    <row r="8" spans="1:47" hidden="1" outlineLevel="1" x14ac:dyDescent="0.2">
      <c r="A8" s="88">
        <v>2</v>
      </c>
      <c r="B8" s="32" t="s">
        <v>91</v>
      </c>
      <c r="C8" s="189">
        <v>773224</v>
      </c>
      <c r="D8" s="189">
        <v>658959.98662599956</v>
      </c>
      <c r="E8" s="189">
        <v>0</v>
      </c>
      <c r="F8" s="189">
        <v>69200</v>
      </c>
      <c r="G8" s="189">
        <v>0</v>
      </c>
      <c r="H8" s="189">
        <v>0</v>
      </c>
      <c r="I8" s="189">
        <f>SUM(C8:H8)</f>
        <v>1501383.9866259997</v>
      </c>
      <c r="J8" s="194"/>
      <c r="K8" s="121"/>
      <c r="L8" s="207"/>
      <c r="M8" s="207"/>
      <c r="N8" s="207"/>
      <c r="O8" s="207"/>
      <c r="P8" s="207"/>
      <c r="Q8" s="207"/>
      <c r="R8" s="220"/>
      <c r="S8" s="166">
        <v>1055215.6000000001</v>
      </c>
      <c r="T8" s="166">
        <v>175150</v>
      </c>
      <c r="U8" s="166">
        <v>8283</v>
      </c>
      <c r="V8" s="166">
        <v>48344</v>
      </c>
      <c r="W8" s="166">
        <v>315.02</v>
      </c>
      <c r="X8" s="166">
        <v>0</v>
      </c>
      <c r="Y8" s="166">
        <v>0</v>
      </c>
      <c r="Z8" s="166">
        <v>5738.55</v>
      </c>
      <c r="AA8" s="166">
        <v>0</v>
      </c>
      <c r="AB8" s="166">
        <v>5355.68</v>
      </c>
      <c r="AC8" s="166">
        <v>5110.25</v>
      </c>
      <c r="AD8" s="166">
        <v>9554.49</v>
      </c>
      <c r="AE8" s="166">
        <v>73816.299999999988</v>
      </c>
      <c r="AF8" s="167">
        <f t="shared" ref="AF8:AF10" si="3">SUM(S8:AE8)</f>
        <v>1386882.8900000001</v>
      </c>
      <c r="AG8" s="121"/>
      <c r="AH8" s="207"/>
      <c r="AI8" s="207"/>
      <c r="AJ8" s="207"/>
      <c r="AK8" s="207"/>
      <c r="AL8" s="207"/>
      <c r="AM8" s="207"/>
      <c r="AN8" s="207"/>
      <c r="AO8" s="207"/>
      <c r="AP8" s="207"/>
      <c r="AQ8" s="207"/>
      <c r="AR8" s="207"/>
      <c r="AS8" s="207"/>
      <c r="AT8" s="220"/>
      <c r="AU8" s="98">
        <f>I8-AF8</f>
        <v>114501.09662599955</v>
      </c>
    </row>
    <row r="9" spans="1:47" hidden="1" outlineLevel="1" x14ac:dyDescent="0.2">
      <c r="A9" s="88">
        <v>2</v>
      </c>
      <c r="B9" s="32" t="s">
        <v>92</v>
      </c>
      <c r="C9" s="189">
        <v>32500</v>
      </c>
      <c r="D9" s="189">
        <v>65801.743334998071</v>
      </c>
      <c r="E9" s="189">
        <v>0</v>
      </c>
      <c r="F9" s="189">
        <v>0</v>
      </c>
      <c r="G9" s="189">
        <v>0</v>
      </c>
      <c r="H9" s="189">
        <v>0</v>
      </c>
      <c r="I9" s="189">
        <f>SUM(C9:H9)</f>
        <v>98301.743334998071</v>
      </c>
      <c r="J9" s="194"/>
      <c r="K9" s="121"/>
      <c r="L9" s="207"/>
      <c r="M9" s="207"/>
      <c r="N9" s="207"/>
      <c r="O9" s="207"/>
      <c r="P9" s="207"/>
      <c r="Q9" s="207"/>
      <c r="R9" s="220"/>
      <c r="S9" s="166">
        <v>0</v>
      </c>
      <c r="T9" s="166">
        <v>0</v>
      </c>
      <c r="U9" s="166">
        <v>0</v>
      </c>
      <c r="V9" s="166">
        <v>0</v>
      </c>
      <c r="W9" s="166">
        <v>0</v>
      </c>
      <c r="X9" s="166">
        <v>0</v>
      </c>
      <c r="Y9" s="166">
        <v>0</v>
      </c>
      <c r="Z9" s="166">
        <v>0</v>
      </c>
      <c r="AA9" s="166">
        <v>0</v>
      </c>
      <c r="AB9" s="166">
        <v>0</v>
      </c>
      <c r="AC9" s="166">
        <v>0</v>
      </c>
      <c r="AD9" s="166">
        <v>0</v>
      </c>
      <c r="AE9" s="166">
        <v>0</v>
      </c>
      <c r="AF9" s="167">
        <f t="shared" si="3"/>
        <v>0</v>
      </c>
      <c r="AG9" s="121"/>
      <c r="AH9" s="207"/>
      <c r="AI9" s="207"/>
      <c r="AJ9" s="207"/>
      <c r="AK9" s="207"/>
      <c r="AL9" s="207"/>
      <c r="AM9" s="207"/>
      <c r="AN9" s="207"/>
      <c r="AO9" s="207"/>
      <c r="AP9" s="207"/>
      <c r="AQ9" s="207"/>
      <c r="AR9" s="207"/>
      <c r="AS9" s="207"/>
      <c r="AT9" s="220"/>
      <c r="AU9" s="98">
        <f>I9-AF9</f>
        <v>98301.743334998071</v>
      </c>
    </row>
    <row r="10" spans="1:47" ht="13.5" hidden="1" outlineLevel="1" thickBot="1" x14ac:dyDescent="0.25">
      <c r="A10" s="88">
        <v>2</v>
      </c>
      <c r="B10" s="32" t="s">
        <v>93</v>
      </c>
      <c r="C10" s="190">
        <v>50000</v>
      </c>
      <c r="D10" s="190">
        <v>93106.976667354189</v>
      </c>
      <c r="E10" s="190">
        <v>0</v>
      </c>
      <c r="F10" s="190">
        <v>0</v>
      </c>
      <c r="G10" s="190">
        <v>0</v>
      </c>
      <c r="H10" s="190">
        <v>0</v>
      </c>
      <c r="I10" s="190">
        <f>SUM(C10:H10)</f>
        <v>143106.97666735417</v>
      </c>
      <c r="J10" s="194"/>
      <c r="K10" s="121"/>
      <c r="L10" s="207"/>
      <c r="M10" s="207"/>
      <c r="N10" s="207"/>
      <c r="O10" s="207"/>
      <c r="P10" s="207"/>
      <c r="Q10" s="207"/>
      <c r="R10" s="220"/>
      <c r="S10" s="168">
        <v>0</v>
      </c>
      <c r="T10" s="168">
        <v>0</v>
      </c>
      <c r="U10" s="168">
        <v>0</v>
      </c>
      <c r="V10" s="168">
        <v>0</v>
      </c>
      <c r="W10" s="168">
        <v>84</v>
      </c>
      <c r="X10" s="168">
        <v>0</v>
      </c>
      <c r="Y10" s="168">
        <v>0</v>
      </c>
      <c r="Z10" s="168">
        <v>423.67</v>
      </c>
      <c r="AA10" s="168">
        <v>0</v>
      </c>
      <c r="AB10" s="168">
        <v>335.27</v>
      </c>
      <c r="AC10" s="168">
        <v>0</v>
      </c>
      <c r="AD10" s="168">
        <v>0</v>
      </c>
      <c r="AE10" s="168">
        <v>3509.43</v>
      </c>
      <c r="AF10" s="169">
        <f t="shared" si="3"/>
        <v>4352.37</v>
      </c>
      <c r="AG10" s="121"/>
      <c r="AH10" s="207"/>
      <c r="AI10" s="207"/>
      <c r="AJ10" s="207"/>
      <c r="AK10" s="207"/>
      <c r="AL10" s="207"/>
      <c r="AM10" s="207"/>
      <c r="AN10" s="207"/>
      <c r="AO10" s="207"/>
      <c r="AP10" s="207"/>
      <c r="AQ10" s="207"/>
      <c r="AR10" s="207"/>
      <c r="AS10" s="207"/>
      <c r="AT10" s="220"/>
      <c r="AU10" s="98">
        <f>I10-AF10</f>
        <v>138754.60666735418</v>
      </c>
    </row>
    <row r="11" spans="1:47" collapsed="1" x14ac:dyDescent="0.2">
      <c r="A11" s="40">
        <v>2</v>
      </c>
      <c r="B11" s="45" t="s">
        <v>4</v>
      </c>
      <c r="C11" s="191">
        <f t="shared" ref="C11:H11" si="4">SUM(C8:C10)</f>
        <v>855724</v>
      </c>
      <c r="D11" s="191">
        <f t="shared" si="4"/>
        <v>817868.70662835182</v>
      </c>
      <c r="E11" s="191">
        <f t="shared" si="4"/>
        <v>0</v>
      </c>
      <c r="F11" s="191">
        <f t="shared" si="4"/>
        <v>69200</v>
      </c>
      <c r="G11" s="191">
        <f t="shared" si="4"/>
        <v>0</v>
      </c>
      <c r="H11" s="191">
        <f t="shared" si="4"/>
        <v>0</v>
      </c>
      <c r="I11" s="191">
        <f>SUM(C11:H11)</f>
        <v>1742792.7066283519</v>
      </c>
      <c r="J11" s="195"/>
      <c r="K11" s="121"/>
      <c r="L11" s="207">
        <f>C11/I11</f>
        <v>0.49100733365788746</v>
      </c>
      <c r="M11" s="207">
        <f>D11/I11</f>
        <v>0.46928628030043801</v>
      </c>
      <c r="N11" s="207">
        <f>E11/I11</f>
        <v>0</v>
      </c>
      <c r="O11" s="207">
        <f>F11/I11</f>
        <v>3.9706386041674431E-2</v>
      </c>
      <c r="P11" s="207">
        <f>G11/I11</f>
        <v>0</v>
      </c>
      <c r="Q11" s="207">
        <f>H11/I11</f>
        <v>0</v>
      </c>
      <c r="R11" s="220"/>
      <c r="S11" s="171">
        <f>SUM(S8:S10)</f>
        <v>1055215.6000000001</v>
      </c>
      <c r="T11" s="171">
        <f t="shared" ref="T11:AE11" si="5">SUM(T8:T10)</f>
        <v>175150</v>
      </c>
      <c r="U11" s="171">
        <f t="shared" si="5"/>
        <v>8283</v>
      </c>
      <c r="V11" s="171">
        <f t="shared" si="5"/>
        <v>48344</v>
      </c>
      <c r="W11" s="171">
        <f t="shared" si="5"/>
        <v>399.02</v>
      </c>
      <c r="X11" s="171">
        <f t="shared" si="5"/>
        <v>0</v>
      </c>
      <c r="Y11" s="171">
        <f t="shared" si="5"/>
        <v>0</v>
      </c>
      <c r="Z11" s="171">
        <f t="shared" si="5"/>
        <v>6162.22</v>
      </c>
      <c r="AA11" s="171">
        <f t="shared" si="5"/>
        <v>0</v>
      </c>
      <c r="AB11" s="171">
        <f t="shared" si="5"/>
        <v>5690.9500000000007</v>
      </c>
      <c r="AC11" s="171">
        <f t="shared" si="5"/>
        <v>5110.25</v>
      </c>
      <c r="AD11" s="171">
        <f t="shared" si="5"/>
        <v>9554.49</v>
      </c>
      <c r="AE11" s="171">
        <f t="shared" si="5"/>
        <v>77325.729999999981</v>
      </c>
      <c r="AF11" s="172">
        <f>SUM(S11:AE11)</f>
        <v>1391235.26</v>
      </c>
      <c r="AG11" s="121"/>
      <c r="AH11" s="207">
        <f>(S11+T11)/AF11</f>
        <v>0.88436919001032221</v>
      </c>
      <c r="AI11" s="207">
        <f>U11/AF11</f>
        <v>5.9537018922306501E-3</v>
      </c>
      <c r="AJ11" s="207">
        <f>V11/AF11</f>
        <v>3.4748975525534048E-2</v>
      </c>
      <c r="AK11" s="207">
        <f>W11/AF11</f>
        <v>2.8680986708171845E-4</v>
      </c>
      <c r="AL11" s="207">
        <f>X11/AF11</f>
        <v>0</v>
      </c>
      <c r="AM11" s="207">
        <f>Y11/AF11</f>
        <v>0</v>
      </c>
      <c r="AN11" s="207">
        <f>Z11/AF11</f>
        <v>4.4293155709696436E-3</v>
      </c>
      <c r="AO11" s="207">
        <f>AA11/AF11</f>
        <v>0</v>
      </c>
      <c r="AP11" s="207">
        <f>AB11/AF11</f>
        <v>4.0905734375938693E-3</v>
      </c>
      <c r="AQ11" s="207">
        <f>AC11/AF11</f>
        <v>3.6731745858712638E-3</v>
      </c>
      <c r="AR11" s="207">
        <f>AD11/AF11</f>
        <v>6.8676307125798402E-3</v>
      </c>
      <c r="AS11" s="207">
        <f>AE11/AF11</f>
        <v>5.5580628397816759E-2</v>
      </c>
      <c r="AT11" s="220"/>
      <c r="AU11" s="124">
        <f>I11-AF11</f>
        <v>351557.44662835193</v>
      </c>
    </row>
    <row r="12" spans="1:47" x14ac:dyDescent="0.2">
      <c r="A12" s="91"/>
      <c r="B12" s="26"/>
      <c r="C12" s="26"/>
      <c r="D12" s="26"/>
      <c r="E12" s="26"/>
      <c r="F12" s="26"/>
      <c r="G12" s="26"/>
      <c r="H12" s="26"/>
      <c r="I12" s="26"/>
      <c r="J12" s="26"/>
      <c r="K12" s="121"/>
      <c r="L12" s="218"/>
      <c r="M12" s="218"/>
      <c r="N12" s="218"/>
      <c r="O12" s="218"/>
      <c r="P12" s="218"/>
      <c r="Q12" s="218"/>
      <c r="R12" s="220"/>
      <c r="S12" s="104"/>
      <c r="T12" s="104"/>
      <c r="U12" s="104"/>
      <c r="V12" s="104"/>
      <c r="W12" s="104"/>
      <c r="X12" s="104"/>
      <c r="Y12" s="104"/>
      <c r="Z12" s="104"/>
      <c r="AA12" s="104"/>
      <c r="AB12" s="104"/>
      <c r="AC12" s="104"/>
      <c r="AD12" s="104"/>
      <c r="AE12" s="104"/>
      <c r="AF12" s="123"/>
      <c r="AG12" s="121"/>
      <c r="AH12" s="116"/>
      <c r="AI12" s="116"/>
      <c r="AJ12" s="116"/>
      <c r="AK12" s="116"/>
      <c r="AL12" s="116"/>
      <c r="AM12" s="116"/>
      <c r="AN12" s="116"/>
      <c r="AO12" s="116"/>
      <c r="AP12" s="116"/>
      <c r="AQ12" s="116"/>
      <c r="AR12" s="116"/>
      <c r="AS12" s="116"/>
      <c r="AT12" s="220"/>
      <c r="AU12" s="105"/>
    </row>
    <row r="13" spans="1:47" hidden="1" outlineLevel="1" x14ac:dyDescent="0.2">
      <c r="A13" s="88">
        <v>3</v>
      </c>
      <c r="B13" s="32" t="s">
        <v>94</v>
      </c>
      <c r="C13" s="189">
        <v>75000</v>
      </c>
      <c r="D13" s="189">
        <v>143938.99832164991</v>
      </c>
      <c r="E13" s="189">
        <v>0</v>
      </c>
      <c r="F13" s="189">
        <v>0</v>
      </c>
      <c r="G13" s="189">
        <v>0</v>
      </c>
      <c r="H13" s="189">
        <v>0</v>
      </c>
      <c r="I13" s="189">
        <f>SUM(C13:H13)</f>
        <v>218938.99832164991</v>
      </c>
      <c r="J13" s="194"/>
      <c r="K13" s="121"/>
      <c r="L13" s="207"/>
      <c r="M13" s="207"/>
      <c r="N13" s="207"/>
      <c r="O13" s="207"/>
      <c r="P13" s="207"/>
      <c r="Q13" s="207"/>
      <c r="R13" s="220"/>
      <c r="S13" s="166">
        <v>152792.76</v>
      </c>
      <c r="T13" s="166">
        <v>47322.22</v>
      </c>
      <c r="U13" s="166">
        <v>0</v>
      </c>
      <c r="V13" s="166">
        <v>2111.48</v>
      </c>
      <c r="W13" s="166">
        <v>213.62</v>
      </c>
      <c r="X13" s="166">
        <v>0</v>
      </c>
      <c r="Y13" s="166">
        <v>0</v>
      </c>
      <c r="Z13" s="166">
        <v>1006.15</v>
      </c>
      <c r="AA13" s="166">
        <v>3730.08</v>
      </c>
      <c r="AB13" s="166">
        <v>0</v>
      </c>
      <c r="AC13" s="166">
        <v>0</v>
      </c>
      <c r="AD13" s="166">
        <v>0</v>
      </c>
      <c r="AE13" s="166">
        <v>3295.7599999999998</v>
      </c>
      <c r="AF13" s="167">
        <f t="shared" ref="AF13:AF16" si="6">SUM(S13:AE13)</f>
        <v>210472.07</v>
      </c>
      <c r="AG13" s="121"/>
      <c r="AH13" s="207"/>
      <c r="AI13" s="207"/>
      <c r="AJ13" s="207"/>
      <c r="AK13" s="207"/>
      <c r="AL13" s="207"/>
      <c r="AM13" s="207"/>
      <c r="AN13" s="207"/>
      <c r="AO13" s="207"/>
      <c r="AP13" s="207"/>
      <c r="AQ13" s="207"/>
      <c r="AR13" s="207"/>
      <c r="AS13" s="207"/>
      <c r="AT13" s="220"/>
      <c r="AU13" s="98">
        <f>I13-AF13</f>
        <v>8466.9283216499025</v>
      </c>
    </row>
    <row r="14" spans="1:47" hidden="1" outlineLevel="1" x14ac:dyDescent="0.2">
      <c r="A14" s="88">
        <v>3</v>
      </c>
      <c r="B14" s="32" t="s">
        <v>95</v>
      </c>
      <c r="C14" s="189">
        <v>40000</v>
      </c>
      <c r="D14" s="189">
        <v>79108.619934863513</v>
      </c>
      <c r="E14" s="189">
        <v>0</v>
      </c>
      <c r="F14" s="189">
        <v>0</v>
      </c>
      <c r="G14" s="189">
        <v>0</v>
      </c>
      <c r="H14" s="189">
        <v>0</v>
      </c>
      <c r="I14" s="189">
        <f>SUM(C14:H14)</f>
        <v>119108.61993486351</v>
      </c>
      <c r="J14" s="194"/>
      <c r="K14" s="121"/>
      <c r="L14" s="207"/>
      <c r="M14" s="207"/>
      <c r="N14" s="207"/>
      <c r="O14" s="207"/>
      <c r="P14" s="207"/>
      <c r="Q14" s="207"/>
      <c r="R14" s="220"/>
      <c r="S14" s="166">
        <v>64287.28</v>
      </c>
      <c r="T14" s="166">
        <v>22017.84</v>
      </c>
      <c r="U14" s="166">
        <v>0</v>
      </c>
      <c r="V14" s="166">
        <v>3856.85</v>
      </c>
      <c r="W14" s="166">
        <v>88</v>
      </c>
      <c r="X14" s="166">
        <v>0</v>
      </c>
      <c r="Y14" s="166">
        <v>0</v>
      </c>
      <c r="Z14" s="166">
        <v>1018.37</v>
      </c>
      <c r="AA14" s="166">
        <v>4463.26</v>
      </c>
      <c r="AB14" s="166">
        <v>0</v>
      </c>
      <c r="AC14" s="166">
        <v>0</v>
      </c>
      <c r="AD14" s="166">
        <v>0</v>
      </c>
      <c r="AE14" s="166">
        <v>27596.77</v>
      </c>
      <c r="AF14" s="167">
        <f t="shared" si="6"/>
        <v>123328.37</v>
      </c>
      <c r="AG14" s="121"/>
      <c r="AH14" s="207"/>
      <c r="AI14" s="207"/>
      <c r="AJ14" s="207"/>
      <c r="AK14" s="207"/>
      <c r="AL14" s="207"/>
      <c r="AM14" s="207"/>
      <c r="AN14" s="207"/>
      <c r="AO14" s="207"/>
      <c r="AP14" s="207"/>
      <c r="AQ14" s="207"/>
      <c r="AR14" s="207"/>
      <c r="AS14" s="207"/>
      <c r="AT14" s="220"/>
      <c r="AU14" s="98">
        <f>I14-AF14</f>
        <v>-4219.7500651364826</v>
      </c>
    </row>
    <row r="15" spans="1:47" hidden="1" outlineLevel="1" x14ac:dyDescent="0.2">
      <c r="A15" s="88">
        <v>3</v>
      </c>
      <c r="B15" s="32" t="s">
        <v>96</v>
      </c>
      <c r="C15" s="189">
        <v>225000</v>
      </c>
      <c r="D15" s="189">
        <v>442283.86387724732</v>
      </c>
      <c r="E15" s="189">
        <v>0</v>
      </c>
      <c r="F15" s="189">
        <v>27500</v>
      </c>
      <c r="G15" s="189">
        <v>0</v>
      </c>
      <c r="H15" s="189">
        <v>0</v>
      </c>
      <c r="I15" s="189">
        <f>SUM(C15:H15)</f>
        <v>694783.86387724732</v>
      </c>
      <c r="J15" s="194"/>
      <c r="K15" s="121"/>
      <c r="L15" s="207"/>
      <c r="M15" s="207"/>
      <c r="N15" s="207"/>
      <c r="O15" s="207"/>
      <c r="P15" s="207"/>
      <c r="Q15" s="207"/>
      <c r="R15" s="220"/>
      <c r="S15" s="166">
        <v>405414.45</v>
      </c>
      <c r="T15" s="166">
        <v>123536.3</v>
      </c>
      <c r="U15" s="166">
        <v>0</v>
      </c>
      <c r="V15" s="166">
        <v>4250.75</v>
      </c>
      <c r="W15" s="166">
        <v>2569.36</v>
      </c>
      <c r="X15" s="166">
        <v>0</v>
      </c>
      <c r="Y15" s="166">
        <v>0</v>
      </c>
      <c r="Z15" s="166">
        <v>0</v>
      </c>
      <c r="AA15" s="166">
        <v>4818.7299999999996</v>
      </c>
      <c r="AB15" s="166">
        <v>0</v>
      </c>
      <c r="AC15" s="166">
        <v>0</v>
      </c>
      <c r="AD15" s="166">
        <v>0</v>
      </c>
      <c r="AE15" s="166">
        <v>62910.409999999996</v>
      </c>
      <c r="AF15" s="167">
        <f t="shared" si="6"/>
        <v>603500</v>
      </c>
      <c r="AG15" s="121"/>
      <c r="AH15" s="207"/>
      <c r="AI15" s="207"/>
      <c r="AJ15" s="207"/>
      <c r="AK15" s="207"/>
      <c r="AL15" s="207"/>
      <c r="AM15" s="207"/>
      <c r="AN15" s="207"/>
      <c r="AO15" s="207"/>
      <c r="AP15" s="207"/>
      <c r="AQ15" s="207"/>
      <c r="AR15" s="207"/>
      <c r="AS15" s="207"/>
      <c r="AT15" s="220"/>
      <c r="AU15" s="98">
        <f>I15-AF15</f>
        <v>91283.86387724732</v>
      </c>
    </row>
    <row r="16" spans="1:47" ht="13.5" hidden="1" outlineLevel="1" thickBot="1" x14ac:dyDescent="0.25">
      <c r="A16" s="88">
        <v>3</v>
      </c>
      <c r="B16" s="32" t="s">
        <v>98</v>
      </c>
      <c r="C16" s="190">
        <v>31853</v>
      </c>
      <c r="D16" s="190">
        <v>141683.45598427713</v>
      </c>
      <c r="E16" s="190">
        <v>0</v>
      </c>
      <c r="F16" s="190">
        <v>0</v>
      </c>
      <c r="G16" s="190">
        <v>0</v>
      </c>
      <c r="H16" s="190">
        <v>0</v>
      </c>
      <c r="I16" s="190">
        <f>SUM(C16:H16)</f>
        <v>173536.45598427713</v>
      </c>
      <c r="J16" s="194"/>
      <c r="K16" s="121"/>
      <c r="L16" s="207"/>
      <c r="M16" s="207"/>
      <c r="N16" s="207"/>
      <c r="O16" s="207"/>
      <c r="P16" s="207"/>
      <c r="Q16" s="207"/>
      <c r="R16" s="220"/>
      <c r="S16" s="168">
        <v>94043.38</v>
      </c>
      <c r="T16" s="168">
        <v>36963.199999999997</v>
      </c>
      <c r="U16" s="168">
        <v>0</v>
      </c>
      <c r="V16" s="168">
        <v>3856.85</v>
      </c>
      <c r="W16" s="168">
        <v>548.03</v>
      </c>
      <c r="X16" s="168">
        <v>0</v>
      </c>
      <c r="Y16" s="168">
        <v>0</v>
      </c>
      <c r="Z16" s="168">
        <v>341.36</v>
      </c>
      <c r="AA16" s="168">
        <v>3730.08</v>
      </c>
      <c r="AB16" s="168">
        <v>0</v>
      </c>
      <c r="AC16" s="168">
        <v>0</v>
      </c>
      <c r="AD16" s="168">
        <v>0</v>
      </c>
      <c r="AE16" s="168">
        <v>4055.19</v>
      </c>
      <c r="AF16" s="169">
        <f t="shared" si="6"/>
        <v>143538.08999999997</v>
      </c>
      <c r="AG16" s="121"/>
      <c r="AH16" s="207"/>
      <c r="AI16" s="207"/>
      <c r="AJ16" s="207"/>
      <c r="AK16" s="207"/>
      <c r="AL16" s="207"/>
      <c r="AM16" s="207"/>
      <c r="AN16" s="207"/>
      <c r="AO16" s="207"/>
      <c r="AP16" s="207"/>
      <c r="AQ16" s="207"/>
      <c r="AR16" s="207"/>
      <c r="AS16" s="207"/>
      <c r="AT16" s="220"/>
      <c r="AU16" s="98">
        <f>I16-AF16</f>
        <v>29998.365984277159</v>
      </c>
    </row>
    <row r="17" spans="1:47" collapsed="1" x14ac:dyDescent="0.2">
      <c r="A17" s="40">
        <v>3</v>
      </c>
      <c r="B17" s="45" t="s">
        <v>4</v>
      </c>
      <c r="C17" s="191">
        <f t="shared" ref="C17:H17" si="7">SUM(C13:C16)</f>
        <v>371853</v>
      </c>
      <c r="D17" s="191">
        <f t="shared" si="7"/>
        <v>807014.938118038</v>
      </c>
      <c r="E17" s="191">
        <f t="shared" si="7"/>
        <v>0</v>
      </c>
      <c r="F17" s="191">
        <f t="shared" si="7"/>
        <v>27500</v>
      </c>
      <c r="G17" s="191">
        <f t="shared" si="7"/>
        <v>0</v>
      </c>
      <c r="H17" s="191">
        <f t="shared" si="7"/>
        <v>0</v>
      </c>
      <c r="I17" s="191">
        <f>SUM(C17:H17)</f>
        <v>1206367.938118038</v>
      </c>
      <c r="J17" s="195"/>
      <c r="K17" s="121"/>
      <c r="L17" s="207">
        <f>C17/I17</f>
        <v>0.30824177951885834</v>
      </c>
      <c r="M17" s="207">
        <f>D17/I17</f>
        <v>0.66896252181320404</v>
      </c>
      <c r="N17" s="207">
        <f>E17/I17</f>
        <v>0</v>
      </c>
      <c r="O17" s="207">
        <f>F17/I17</f>
        <v>2.2795698667937611E-2</v>
      </c>
      <c r="P17" s="207">
        <f>G17/I17</f>
        <v>0</v>
      </c>
      <c r="Q17" s="207">
        <f>H17/I17</f>
        <v>0</v>
      </c>
      <c r="R17" s="220"/>
      <c r="S17" s="170">
        <f>SUM(S13:S16)</f>
        <v>716537.87</v>
      </c>
      <c r="T17" s="170">
        <f t="shared" ref="T17:AE17" si="8">SUM(T13:T16)</f>
        <v>229839.56</v>
      </c>
      <c r="U17" s="170">
        <f t="shared" si="8"/>
        <v>0</v>
      </c>
      <c r="V17" s="170">
        <f t="shared" si="8"/>
        <v>14075.93</v>
      </c>
      <c r="W17" s="170">
        <f t="shared" si="8"/>
        <v>3419.01</v>
      </c>
      <c r="X17" s="170">
        <f t="shared" si="8"/>
        <v>0</v>
      </c>
      <c r="Y17" s="170">
        <f t="shared" si="8"/>
        <v>0</v>
      </c>
      <c r="Z17" s="170">
        <f t="shared" si="8"/>
        <v>2365.88</v>
      </c>
      <c r="AA17" s="170">
        <f t="shared" si="8"/>
        <v>16742.150000000001</v>
      </c>
      <c r="AB17" s="170">
        <f t="shared" si="8"/>
        <v>0</v>
      </c>
      <c r="AC17" s="170">
        <f t="shared" si="8"/>
        <v>0</v>
      </c>
      <c r="AD17" s="170">
        <f t="shared" si="8"/>
        <v>0</v>
      </c>
      <c r="AE17" s="170">
        <f t="shared" si="8"/>
        <v>97858.13</v>
      </c>
      <c r="AF17" s="172">
        <f>SUM(S17:AE17)</f>
        <v>1080838.53</v>
      </c>
      <c r="AG17" s="121"/>
      <c r="AH17" s="207">
        <f>(S17+T17)/AF17</f>
        <v>0.875595571153445</v>
      </c>
      <c r="AI17" s="207">
        <f>U17/AF17</f>
        <v>0</v>
      </c>
      <c r="AJ17" s="207">
        <f>V17/AF17</f>
        <v>1.3023157122276165E-2</v>
      </c>
      <c r="AK17" s="207">
        <f>W17/AF17</f>
        <v>3.1632939658433534E-3</v>
      </c>
      <c r="AL17" s="207">
        <f>X17/AF17</f>
        <v>0</v>
      </c>
      <c r="AM17" s="207">
        <f>Y17/AF17</f>
        <v>0</v>
      </c>
      <c r="AN17" s="207">
        <f>Z17/AF17</f>
        <v>2.188930107811756E-3</v>
      </c>
      <c r="AO17" s="207">
        <f>AA17/AF17</f>
        <v>1.5489964074467257E-2</v>
      </c>
      <c r="AP17" s="207">
        <f>AB17/AF17</f>
        <v>0</v>
      </c>
      <c r="AQ17" s="207">
        <f>AC17/AF17</f>
        <v>0</v>
      </c>
      <c r="AR17" s="207">
        <f>AD17/AF17</f>
        <v>0</v>
      </c>
      <c r="AS17" s="207">
        <f>AE17/AF17</f>
        <v>9.0539083576156379E-2</v>
      </c>
      <c r="AT17" s="220"/>
      <c r="AU17" s="124">
        <f>I17-AF17</f>
        <v>125529.40811803797</v>
      </c>
    </row>
    <row r="18" spans="1:47" x14ac:dyDescent="0.2">
      <c r="A18" s="91"/>
      <c r="B18" s="26"/>
      <c r="C18" s="26"/>
      <c r="D18" s="26"/>
      <c r="E18" s="26"/>
      <c r="F18" s="26"/>
      <c r="G18" s="26"/>
      <c r="H18" s="26"/>
      <c r="I18" s="26"/>
      <c r="J18" s="26"/>
      <c r="K18" s="121"/>
      <c r="L18" s="218"/>
      <c r="M18" s="218"/>
      <c r="N18" s="218"/>
      <c r="O18" s="218"/>
      <c r="P18" s="218"/>
      <c r="Q18" s="218"/>
      <c r="R18" s="220"/>
      <c r="S18" s="104"/>
      <c r="T18" s="104"/>
      <c r="U18" s="104"/>
      <c r="V18" s="104"/>
      <c r="W18" s="104"/>
      <c r="X18" s="104"/>
      <c r="Y18" s="104"/>
      <c r="Z18" s="104"/>
      <c r="AA18" s="104"/>
      <c r="AB18" s="104"/>
      <c r="AC18" s="104"/>
      <c r="AD18" s="104"/>
      <c r="AE18" s="104"/>
      <c r="AF18" s="81"/>
      <c r="AG18" s="121"/>
      <c r="AH18" s="116"/>
      <c r="AI18" s="116"/>
      <c r="AJ18" s="116"/>
      <c r="AK18" s="116"/>
      <c r="AL18" s="116"/>
      <c r="AM18" s="116"/>
      <c r="AN18" s="116"/>
      <c r="AO18" s="116"/>
      <c r="AP18" s="116"/>
      <c r="AQ18" s="116"/>
      <c r="AR18" s="116"/>
      <c r="AS18" s="116"/>
      <c r="AT18" s="220"/>
      <c r="AU18" s="105"/>
    </row>
    <row r="19" spans="1:47" hidden="1" outlineLevel="1" x14ac:dyDescent="0.2">
      <c r="A19" s="88">
        <v>4</v>
      </c>
      <c r="B19" s="32" t="s">
        <v>99</v>
      </c>
      <c r="C19" s="189">
        <v>118527</v>
      </c>
      <c r="D19" s="189">
        <v>192354.95546492774</v>
      </c>
      <c r="E19" s="189">
        <v>0</v>
      </c>
      <c r="F19" s="189">
        <v>0</v>
      </c>
      <c r="G19" s="189">
        <v>0</v>
      </c>
      <c r="H19" s="189">
        <v>0</v>
      </c>
      <c r="I19" s="189">
        <f>SUM(C19:H19)</f>
        <v>310881.95546492771</v>
      </c>
      <c r="J19" s="194"/>
      <c r="K19" s="121"/>
      <c r="L19" s="207"/>
      <c r="M19" s="207"/>
      <c r="N19" s="207"/>
      <c r="O19" s="207"/>
      <c r="P19" s="207"/>
      <c r="Q19" s="207"/>
      <c r="R19" s="220"/>
      <c r="S19" s="166">
        <v>99863.89</v>
      </c>
      <c r="T19" s="166">
        <v>24307.77</v>
      </c>
      <c r="U19" s="166">
        <v>3668.66</v>
      </c>
      <c r="V19" s="166">
        <v>30272.75</v>
      </c>
      <c r="W19" s="166">
        <v>0</v>
      </c>
      <c r="X19" s="166">
        <v>0</v>
      </c>
      <c r="Y19" s="166">
        <v>0</v>
      </c>
      <c r="Z19" s="166">
        <v>0</v>
      </c>
      <c r="AA19" s="166">
        <v>1251</v>
      </c>
      <c r="AB19" s="166">
        <v>450</v>
      </c>
      <c r="AC19" s="166">
        <v>19223.73</v>
      </c>
      <c r="AD19" s="166">
        <v>255.23</v>
      </c>
      <c r="AE19" s="166">
        <v>26945.15</v>
      </c>
      <c r="AF19" s="167">
        <f t="shared" ref="AF19:AF22" si="9">SUM(S19:AE19)</f>
        <v>206238.18000000002</v>
      </c>
      <c r="AG19" s="121"/>
      <c r="AH19" s="207"/>
      <c r="AI19" s="207"/>
      <c r="AJ19" s="207"/>
      <c r="AK19" s="207"/>
      <c r="AL19" s="207"/>
      <c r="AM19" s="207"/>
      <c r="AN19" s="207"/>
      <c r="AO19" s="207"/>
      <c r="AP19" s="207"/>
      <c r="AQ19" s="207"/>
      <c r="AR19" s="207"/>
      <c r="AS19" s="207"/>
      <c r="AT19" s="220"/>
      <c r="AU19" s="98">
        <f>I19-AF19</f>
        <v>104643.77546492769</v>
      </c>
    </row>
    <row r="20" spans="1:47" hidden="1" outlineLevel="1" x14ac:dyDescent="0.2">
      <c r="A20" s="88">
        <v>4</v>
      </c>
      <c r="B20" s="32" t="s">
        <v>100</v>
      </c>
      <c r="C20" s="189">
        <v>210000</v>
      </c>
      <c r="D20" s="189">
        <v>282687.7796954402</v>
      </c>
      <c r="E20" s="189">
        <v>0</v>
      </c>
      <c r="F20" s="189">
        <v>0</v>
      </c>
      <c r="G20" s="189">
        <v>0</v>
      </c>
      <c r="H20" s="189">
        <v>0</v>
      </c>
      <c r="I20" s="189">
        <f>SUM(C20:H20)</f>
        <v>492687.7796954402</v>
      </c>
      <c r="J20" s="194"/>
      <c r="K20" s="121"/>
      <c r="L20" s="207"/>
      <c r="M20" s="207"/>
      <c r="N20" s="207"/>
      <c r="O20" s="207"/>
      <c r="P20" s="207"/>
      <c r="Q20" s="207"/>
      <c r="R20" s="220"/>
      <c r="S20" s="166">
        <v>258650.23999999999</v>
      </c>
      <c r="T20" s="166">
        <v>79780.960000000006</v>
      </c>
      <c r="U20" s="166">
        <v>485.36</v>
      </c>
      <c r="V20" s="166">
        <v>22832</v>
      </c>
      <c r="W20" s="166">
        <v>293.49</v>
      </c>
      <c r="X20" s="166">
        <v>0</v>
      </c>
      <c r="Y20" s="166">
        <v>0</v>
      </c>
      <c r="Z20" s="166">
        <v>0</v>
      </c>
      <c r="AA20" s="166">
        <v>0</v>
      </c>
      <c r="AB20" s="166">
        <v>0</v>
      </c>
      <c r="AC20" s="166">
        <v>3636.28</v>
      </c>
      <c r="AD20" s="166">
        <v>0</v>
      </c>
      <c r="AE20" s="166">
        <v>10858.52</v>
      </c>
      <c r="AF20" s="167">
        <f t="shared" si="9"/>
        <v>376536.85000000003</v>
      </c>
      <c r="AG20" s="121"/>
      <c r="AH20" s="207"/>
      <c r="AI20" s="207"/>
      <c r="AJ20" s="207"/>
      <c r="AK20" s="207"/>
      <c r="AL20" s="207"/>
      <c r="AM20" s="207"/>
      <c r="AN20" s="207"/>
      <c r="AO20" s="207"/>
      <c r="AP20" s="207"/>
      <c r="AQ20" s="207"/>
      <c r="AR20" s="207"/>
      <c r="AS20" s="207"/>
      <c r="AT20" s="220"/>
      <c r="AU20" s="98">
        <f>I20-AF20</f>
        <v>116150.92969544017</v>
      </c>
    </row>
    <row r="21" spans="1:47" hidden="1" outlineLevel="1" x14ac:dyDescent="0.2">
      <c r="A21" s="88">
        <v>4</v>
      </c>
      <c r="B21" s="32" t="s">
        <v>101</v>
      </c>
      <c r="C21" s="189">
        <v>81000</v>
      </c>
      <c r="D21" s="189">
        <v>131965.69054899033</v>
      </c>
      <c r="E21" s="189">
        <v>0</v>
      </c>
      <c r="F21" s="189">
        <v>1000</v>
      </c>
      <c r="G21" s="189">
        <v>0</v>
      </c>
      <c r="H21" s="189">
        <v>0</v>
      </c>
      <c r="I21" s="189">
        <f>SUM(C21:H21)</f>
        <v>213965.69054899033</v>
      </c>
      <c r="J21" s="194"/>
      <c r="K21" s="121"/>
      <c r="L21" s="207"/>
      <c r="M21" s="207"/>
      <c r="N21" s="207"/>
      <c r="O21" s="207"/>
      <c r="P21" s="207"/>
      <c r="Q21" s="207"/>
      <c r="R21" s="220"/>
      <c r="S21" s="166">
        <v>112249.9</v>
      </c>
      <c r="T21" s="166">
        <v>31963.71</v>
      </c>
      <c r="U21" s="166">
        <v>2654.88</v>
      </c>
      <c r="V21" s="166">
        <v>1794.21</v>
      </c>
      <c r="W21" s="166">
        <v>98</v>
      </c>
      <c r="X21" s="166">
        <v>5400</v>
      </c>
      <c r="Y21" s="166">
        <v>1944.29</v>
      </c>
      <c r="Z21" s="166">
        <v>0</v>
      </c>
      <c r="AA21" s="166">
        <v>150</v>
      </c>
      <c r="AB21" s="166">
        <v>0</v>
      </c>
      <c r="AC21" s="166">
        <v>2235.4</v>
      </c>
      <c r="AD21" s="166">
        <v>532.99</v>
      </c>
      <c r="AE21" s="166">
        <v>14494.47</v>
      </c>
      <c r="AF21" s="167">
        <f t="shared" si="9"/>
        <v>173517.84999999998</v>
      </c>
      <c r="AG21" s="121"/>
      <c r="AH21" s="207"/>
      <c r="AI21" s="207"/>
      <c r="AJ21" s="207"/>
      <c r="AK21" s="207"/>
      <c r="AL21" s="207"/>
      <c r="AM21" s="207"/>
      <c r="AN21" s="207"/>
      <c r="AO21" s="207"/>
      <c r="AP21" s="207"/>
      <c r="AQ21" s="207"/>
      <c r="AR21" s="207"/>
      <c r="AS21" s="207"/>
      <c r="AT21" s="220"/>
      <c r="AU21" s="98">
        <f>I21-AF21</f>
        <v>40447.840548990353</v>
      </c>
    </row>
    <row r="22" spans="1:47" ht="13.5" hidden="1" outlineLevel="1" thickBot="1" x14ac:dyDescent="0.25">
      <c r="A22" s="88">
        <v>4</v>
      </c>
      <c r="B22" s="32" t="s">
        <v>102</v>
      </c>
      <c r="C22" s="190">
        <v>65362.5</v>
      </c>
      <c r="D22" s="190">
        <v>119086.87307884525</v>
      </c>
      <c r="E22" s="190">
        <v>0</v>
      </c>
      <c r="F22" s="190">
        <v>0</v>
      </c>
      <c r="G22" s="190">
        <v>0</v>
      </c>
      <c r="H22" s="190">
        <v>0</v>
      </c>
      <c r="I22" s="190">
        <f>SUM(C22:H22)</f>
        <v>184449.37307884527</v>
      </c>
      <c r="J22" s="194"/>
      <c r="K22" s="121"/>
      <c r="L22" s="207"/>
      <c r="M22" s="207"/>
      <c r="N22" s="207"/>
      <c r="O22" s="207"/>
      <c r="P22" s="207"/>
      <c r="Q22" s="207"/>
      <c r="R22" s="220"/>
      <c r="S22" s="168">
        <v>104134.5</v>
      </c>
      <c r="T22" s="168">
        <v>23713.88</v>
      </c>
      <c r="U22" s="168">
        <v>0</v>
      </c>
      <c r="V22" s="168">
        <v>0</v>
      </c>
      <c r="W22" s="168">
        <v>138</v>
      </c>
      <c r="X22" s="168">
        <v>0</v>
      </c>
      <c r="Y22" s="168">
        <v>0</v>
      </c>
      <c r="Z22" s="168">
        <v>0</v>
      </c>
      <c r="AA22" s="168">
        <v>0</v>
      </c>
      <c r="AB22" s="168">
        <v>0</v>
      </c>
      <c r="AC22" s="168">
        <v>1220.81</v>
      </c>
      <c r="AD22" s="168">
        <v>163.27000000000001</v>
      </c>
      <c r="AE22" s="168">
        <v>5050.71</v>
      </c>
      <c r="AF22" s="169">
        <f t="shared" si="9"/>
        <v>134421.17000000001</v>
      </c>
      <c r="AG22" s="121"/>
      <c r="AH22" s="207"/>
      <c r="AI22" s="207"/>
      <c r="AJ22" s="207"/>
      <c r="AK22" s="207"/>
      <c r="AL22" s="207"/>
      <c r="AM22" s="207"/>
      <c r="AN22" s="207"/>
      <c r="AO22" s="207"/>
      <c r="AP22" s="207"/>
      <c r="AQ22" s="207"/>
      <c r="AR22" s="207"/>
      <c r="AS22" s="207"/>
      <c r="AT22" s="220"/>
      <c r="AU22" s="98">
        <f>I22-AF22</f>
        <v>50028.203078845254</v>
      </c>
    </row>
    <row r="23" spans="1:47" collapsed="1" x14ac:dyDescent="0.2">
      <c r="A23" s="40">
        <v>4</v>
      </c>
      <c r="B23" s="45" t="s">
        <v>4</v>
      </c>
      <c r="C23" s="191">
        <f t="shared" ref="C23:H23" si="10">SUM(C19:C22)</f>
        <v>474889.5</v>
      </c>
      <c r="D23" s="191">
        <f t="shared" si="10"/>
        <v>726095.29878820339</v>
      </c>
      <c r="E23" s="191">
        <f t="shared" si="10"/>
        <v>0</v>
      </c>
      <c r="F23" s="191">
        <f t="shared" si="10"/>
        <v>1000</v>
      </c>
      <c r="G23" s="191">
        <f t="shared" si="10"/>
        <v>0</v>
      </c>
      <c r="H23" s="191">
        <f t="shared" si="10"/>
        <v>0</v>
      </c>
      <c r="I23" s="191">
        <f>SUM(C23:H23)</f>
        <v>1201984.7987882034</v>
      </c>
      <c r="J23" s="195"/>
      <c r="K23" s="121"/>
      <c r="L23" s="207">
        <f>C23/I23</f>
        <v>0.39508777521875987</v>
      </c>
      <c r="M23" s="207">
        <f>D23/I23</f>
        <v>0.60408026750440258</v>
      </c>
      <c r="N23" s="207">
        <f>E23/I23</f>
        <v>0</v>
      </c>
      <c r="O23" s="207">
        <f>F23/I23</f>
        <v>8.319572768375798E-4</v>
      </c>
      <c r="P23" s="207">
        <f>G23/I23</f>
        <v>0</v>
      </c>
      <c r="Q23" s="207">
        <f>H23/I23</f>
        <v>0</v>
      </c>
      <c r="R23" s="220"/>
      <c r="S23" s="171">
        <f>SUM(S19:S22)</f>
        <v>574898.53</v>
      </c>
      <c r="T23" s="171">
        <f t="shared" ref="T23:AE23" si="11">SUM(T19:T22)</f>
        <v>159766.32</v>
      </c>
      <c r="U23" s="171">
        <f t="shared" si="11"/>
        <v>6808.9</v>
      </c>
      <c r="V23" s="171">
        <f t="shared" si="11"/>
        <v>54898.96</v>
      </c>
      <c r="W23" s="171">
        <f t="shared" si="11"/>
        <v>529.49</v>
      </c>
      <c r="X23" s="171">
        <f t="shared" si="11"/>
        <v>5400</v>
      </c>
      <c r="Y23" s="171">
        <f t="shared" si="11"/>
        <v>1944.29</v>
      </c>
      <c r="Z23" s="171">
        <f t="shared" si="11"/>
        <v>0</v>
      </c>
      <c r="AA23" s="171">
        <f t="shared" si="11"/>
        <v>1401</v>
      </c>
      <c r="AB23" s="171">
        <f t="shared" si="11"/>
        <v>450</v>
      </c>
      <c r="AC23" s="171">
        <f t="shared" si="11"/>
        <v>26316.22</v>
      </c>
      <c r="AD23" s="171">
        <f t="shared" si="11"/>
        <v>951.49</v>
      </c>
      <c r="AE23" s="171">
        <f t="shared" si="11"/>
        <v>57348.85</v>
      </c>
      <c r="AF23" s="172">
        <f>SUM(S23:AE23)</f>
        <v>890714.05</v>
      </c>
      <c r="AG23" s="121"/>
      <c r="AH23" s="207">
        <f>(S23+T23)/AF23</f>
        <v>0.82480438026098279</v>
      </c>
      <c r="AI23" s="207">
        <f>U23/AF23</f>
        <v>7.6443163774052953E-3</v>
      </c>
      <c r="AJ23" s="207">
        <f>V23/AF23</f>
        <v>6.1634774931415975E-2</v>
      </c>
      <c r="AK23" s="207">
        <f>W23/AF23</f>
        <v>5.9445565049748566E-4</v>
      </c>
      <c r="AL23" s="207">
        <f>X23/AF23</f>
        <v>6.0625517246528215E-3</v>
      </c>
      <c r="AM23" s="207">
        <f>Y23/AF23</f>
        <v>2.182844202356525E-3</v>
      </c>
      <c r="AN23" s="207">
        <f>Z23/AF23</f>
        <v>0</v>
      </c>
      <c r="AO23" s="207">
        <f>AA23/AF23</f>
        <v>1.5728953641182598E-3</v>
      </c>
      <c r="AP23" s="207">
        <f>AB23/AF23</f>
        <v>5.0521264372106853E-4</v>
      </c>
      <c r="AQ23" s="207">
        <f>AC23/AF23</f>
        <v>2.9545082397656127E-2</v>
      </c>
      <c r="AR23" s="207">
        <f>AD23/AF23</f>
        <v>1.0682328408314656E-3</v>
      </c>
      <c r="AS23" s="207">
        <f>AE23/AF23</f>
        <v>6.4385253606362214E-2</v>
      </c>
      <c r="AT23" s="220"/>
      <c r="AU23" s="124">
        <f>I23-AF23</f>
        <v>311270.74878820335</v>
      </c>
    </row>
    <row r="24" spans="1:47" x14ac:dyDescent="0.2">
      <c r="A24" s="91"/>
      <c r="B24" s="26"/>
      <c r="C24" s="26"/>
      <c r="D24" s="26"/>
      <c r="E24" s="26"/>
      <c r="F24" s="26"/>
      <c r="G24" s="26"/>
      <c r="H24" s="26"/>
      <c r="I24" s="26"/>
      <c r="J24" s="26"/>
      <c r="K24" s="121"/>
      <c r="L24" s="218"/>
      <c r="M24" s="218"/>
      <c r="N24" s="218"/>
      <c r="O24" s="218"/>
      <c r="P24" s="218"/>
      <c r="Q24" s="218"/>
      <c r="R24" s="220"/>
      <c r="S24" s="110"/>
      <c r="T24" s="110"/>
      <c r="U24" s="104"/>
      <c r="V24" s="104"/>
      <c r="W24" s="104"/>
      <c r="X24" s="104"/>
      <c r="Y24" s="104"/>
      <c r="Z24" s="104"/>
      <c r="AA24" s="104"/>
      <c r="AB24" s="104"/>
      <c r="AC24" s="104"/>
      <c r="AD24" s="104"/>
      <c r="AE24" s="104"/>
      <c r="AF24" s="111"/>
      <c r="AG24" s="121"/>
      <c r="AH24" s="116"/>
      <c r="AI24" s="116"/>
      <c r="AJ24" s="116"/>
      <c r="AK24" s="116"/>
      <c r="AL24" s="116"/>
      <c r="AM24" s="116"/>
      <c r="AN24" s="116"/>
      <c r="AO24" s="116"/>
      <c r="AP24" s="116"/>
      <c r="AQ24" s="116"/>
      <c r="AR24" s="116"/>
      <c r="AS24" s="116"/>
      <c r="AT24" s="220"/>
      <c r="AU24" s="105"/>
    </row>
    <row r="25" spans="1:47" hidden="1" outlineLevel="1" x14ac:dyDescent="0.2">
      <c r="A25" s="88">
        <v>5</v>
      </c>
      <c r="B25" s="32" t="s">
        <v>105</v>
      </c>
      <c r="C25" s="189">
        <v>200000</v>
      </c>
      <c r="D25" s="189">
        <v>253941.96275344817</v>
      </c>
      <c r="E25" s="189">
        <v>0</v>
      </c>
      <c r="F25" s="189">
        <v>5000</v>
      </c>
      <c r="G25" s="189">
        <v>0</v>
      </c>
      <c r="H25" s="189">
        <v>0</v>
      </c>
      <c r="I25" s="189">
        <f>SUM(C25:H25)</f>
        <v>458941.96275344817</v>
      </c>
      <c r="J25" s="194"/>
      <c r="K25" s="121"/>
      <c r="L25" s="207"/>
      <c r="M25" s="207"/>
      <c r="N25" s="207"/>
      <c r="O25" s="207"/>
      <c r="P25" s="207"/>
      <c r="Q25" s="207"/>
      <c r="R25" s="220"/>
      <c r="S25" s="166">
        <v>301763.08</v>
      </c>
      <c r="T25" s="166">
        <v>34138.97</v>
      </c>
      <c r="U25" s="166">
        <v>0</v>
      </c>
      <c r="V25" s="166">
        <v>0</v>
      </c>
      <c r="W25" s="166">
        <v>0</v>
      </c>
      <c r="X25" s="166">
        <v>0</v>
      </c>
      <c r="Y25" s="166">
        <v>0</v>
      </c>
      <c r="Z25" s="166">
        <v>0</v>
      </c>
      <c r="AA25" s="166">
        <v>140.4</v>
      </c>
      <c r="AB25" s="166">
        <v>0</v>
      </c>
      <c r="AC25" s="166">
        <v>0</v>
      </c>
      <c r="AD25" s="166">
        <v>0</v>
      </c>
      <c r="AE25" s="166">
        <v>1688.29</v>
      </c>
      <c r="AF25" s="167">
        <f t="shared" ref="AF25:AF26" si="12">SUM(S25:AE25)</f>
        <v>337730.74000000005</v>
      </c>
      <c r="AG25" s="121"/>
      <c r="AH25" s="207"/>
      <c r="AI25" s="207"/>
      <c r="AJ25" s="207"/>
      <c r="AK25" s="207"/>
      <c r="AL25" s="207"/>
      <c r="AM25" s="207"/>
      <c r="AN25" s="207"/>
      <c r="AO25" s="207"/>
      <c r="AP25" s="207"/>
      <c r="AQ25" s="207"/>
      <c r="AR25" s="207"/>
      <c r="AS25" s="207"/>
      <c r="AT25" s="220"/>
      <c r="AU25" s="98">
        <f>I25-AF25</f>
        <v>121211.22275344812</v>
      </c>
    </row>
    <row r="26" spans="1:47" ht="26.25" hidden="1" outlineLevel="1" thickBot="1" x14ac:dyDescent="0.25">
      <c r="A26" s="88">
        <v>5</v>
      </c>
      <c r="B26" s="32" t="s">
        <v>106</v>
      </c>
      <c r="C26" s="190">
        <v>1567650</v>
      </c>
      <c r="D26" s="190">
        <v>1582600.4578269904</v>
      </c>
      <c r="E26" s="190">
        <v>0</v>
      </c>
      <c r="F26" s="190">
        <v>100000</v>
      </c>
      <c r="G26" s="190">
        <v>0</v>
      </c>
      <c r="H26" s="190">
        <v>20000</v>
      </c>
      <c r="I26" s="190">
        <f>SUM(C26:H26)</f>
        <v>3270250.4578269906</v>
      </c>
      <c r="J26" s="194" t="s">
        <v>156</v>
      </c>
      <c r="K26" s="121"/>
      <c r="L26" s="207"/>
      <c r="M26" s="207"/>
      <c r="N26" s="207"/>
      <c r="O26" s="207"/>
      <c r="P26" s="207"/>
      <c r="Q26" s="207"/>
      <c r="R26" s="220"/>
      <c r="S26" s="168">
        <v>2526509.5</v>
      </c>
      <c r="T26" s="168">
        <v>338374.67000000004</v>
      </c>
      <c r="U26" s="168">
        <v>0</v>
      </c>
      <c r="V26" s="168">
        <v>13892.55</v>
      </c>
      <c r="W26" s="168">
        <v>392.12</v>
      </c>
      <c r="X26" s="168">
        <v>14408.34</v>
      </c>
      <c r="Y26" s="168">
        <v>1157.8399999999999</v>
      </c>
      <c r="Z26" s="168">
        <v>17725.09</v>
      </c>
      <c r="AA26" s="168">
        <v>14173.44</v>
      </c>
      <c r="AB26" s="168">
        <v>2133.36</v>
      </c>
      <c r="AC26" s="168">
        <v>46806.39</v>
      </c>
      <c r="AD26" s="168">
        <v>5245.75</v>
      </c>
      <c r="AE26" s="168">
        <v>95772.59</v>
      </c>
      <c r="AF26" s="169">
        <f t="shared" si="12"/>
        <v>3076591.6399999992</v>
      </c>
      <c r="AG26" s="121"/>
      <c r="AH26" s="207"/>
      <c r="AI26" s="207"/>
      <c r="AJ26" s="207"/>
      <c r="AK26" s="207"/>
      <c r="AL26" s="207"/>
      <c r="AM26" s="207"/>
      <c r="AN26" s="207"/>
      <c r="AO26" s="207"/>
      <c r="AP26" s="207"/>
      <c r="AQ26" s="207"/>
      <c r="AR26" s="207"/>
      <c r="AS26" s="207"/>
      <c r="AT26" s="220"/>
      <c r="AU26" s="98">
        <f>I26-AF26</f>
        <v>193658.81782699144</v>
      </c>
    </row>
    <row r="27" spans="1:47" collapsed="1" x14ac:dyDescent="0.2">
      <c r="A27" s="40">
        <v>5</v>
      </c>
      <c r="B27" s="45" t="s">
        <v>4</v>
      </c>
      <c r="C27" s="191">
        <f t="shared" ref="C27:H27" si="13">SUM(C25:C26)</f>
        <v>1767650</v>
      </c>
      <c r="D27" s="191">
        <f t="shared" si="13"/>
        <v>1836542.4205804386</v>
      </c>
      <c r="E27" s="191">
        <f t="shared" si="13"/>
        <v>0</v>
      </c>
      <c r="F27" s="191">
        <f t="shared" si="13"/>
        <v>105000</v>
      </c>
      <c r="G27" s="191">
        <f t="shared" si="13"/>
        <v>0</v>
      </c>
      <c r="H27" s="191">
        <f t="shared" si="13"/>
        <v>20000</v>
      </c>
      <c r="I27" s="191">
        <f>SUM(C27:H27)</f>
        <v>3729192.4205804383</v>
      </c>
      <c r="J27" s="195"/>
      <c r="K27" s="121"/>
      <c r="L27" s="207">
        <f>C27/I27</f>
        <v>0.47400343040621923</v>
      </c>
      <c r="M27" s="207">
        <f>D27/I27</f>
        <v>0.4924772480081856</v>
      </c>
      <c r="N27" s="207">
        <f>E27/I27</f>
        <v>0</v>
      </c>
      <c r="O27" s="207">
        <f>F27/I27</f>
        <v>2.8156230131899992E-2</v>
      </c>
      <c r="P27" s="207">
        <f>G27/I27</f>
        <v>0</v>
      </c>
      <c r="Q27" s="207">
        <f>H27/I27</f>
        <v>5.3630914536952363E-3</v>
      </c>
      <c r="R27" s="220"/>
      <c r="S27" s="170">
        <f>SUM(S25:S26)</f>
        <v>2828272.58</v>
      </c>
      <c r="T27" s="170">
        <f>SUM(T25:T26)</f>
        <v>372513.64</v>
      </c>
      <c r="U27" s="170">
        <f t="shared" ref="U27:AE27" si="14">SUM(U25:U26)</f>
        <v>0</v>
      </c>
      <c r="V27" s="170">
        <f t="shared" si="14"/>
        <v>13892.55</v>
      </c>
      <c r="W27" s="170">
        <f t="shared" si="14"/>
        <v>392.12</v>
      </c>
      <c r="X27" s="170">
        <f t="shared" si="14"/>
        <v>14408.34</v>
      </c>
      <c r="Y27" s="170">
        <f t="shared" si="14"/>
        <v>1157.8399999999999</v>
      </c>
      <c r="Z27" s="170">
        <f t="shared" si="14"/>
        <v>17725.09</v>
      </c>
      <c r="AA27" s="170">
        <f t="shared" si="14"/>
        <v>14313.84</v>
      </c>
      <c r="AB27" s="170">
        <f t="shared" si="14"/>
        <v>2133.36</v>
      </c>
      <c r="AC27" s="170">
        <f t="shared" si="14"/>
        <v>46806.39</v>
      </c>
      <c r="AD27" s="170">
        <f t="shared" si="14"/>
        <v>5245.75</v>
      </c>
      <c r="AE27" s="170">
        <f t="shared" si="14"/>
        <v>97460.87999999999</v>
      </c>
      <c r="AF27" s="172">
        <f>SUM(AF25:AF26)</f>
        <v>3414322.3799999994</v>
      </c>
      <c r="AG27" s="121"/>
      <c r="AH27" s="207">
        <f>(S27+T27)/AF27</f>
        <v>0.93745870007740773</v>
      </c>
      <c r="AI27" s="207">
        <f>U27/AF27</f>
        <v>0</v>
      </c>
      <c r="AJ27" s="207">
        <f>V27/AF27</f>
        <v>4.0689040031421991E-3</v>
      </c>
      <c r="AK27" s="207">
        <f>W27/AF27</f>
        <v>1.1484562860757164E-4</v>
      </c>
      <c r="AL27" s="207">
        <f>X27/AF27</f>
        <v>4.219970581688306E-3</v>
      </c>
      <c r="AM27" s="207">
        <f>Y27/AF27</f>
        <v>3.3911267629039768E-4</v>
      </c>
      <c r="AN27" s="207">
        <f>Z27/AF27</f>
        <v>5.1913932040594255E-3</v>
      </c>
      <c r="AO27" s="207">
        <f>AA27/AF27</f>
        <v>4.1922930546470548E-3</v>
      </c>
      <c r="AP27" s="207">
        <f>AB27/AF27</f>
        <v>6.248267628436423E-4</v>
      </c>
      <c r="AQ27" s="207">
        <f>AC27/AF27</f>
        <v>1.3708837300829222E-2</v>
      </c>
      <c r="AR27" s="207">
        <f>AD27/AF27</f>
        <v>1.5363956346734901E-3</v>
      </c>
      <c r="AS27" s="207">
        <f>AE27/AF27</f>
        <v>2.8544721075811245E-2</v>
      </c>
      <c r="AT27" s="220"/>
      <c r="AU27" s="124">
        <f>I27-AF27</f>
        <v>314870.04058043892</v>
      </c>
    </row>
    <row r="28" spans="1:47" x14ac:dyDescent="0.2">
      <c r="A28" s="91"/>
      <c r="B28" s="26"/>
      <c r="C28" s="26"/>
      <c r="D28" s="26"/>
      <c r="E28" s="26"/>
      <c r="F28" s="26"/>
      <c r="G28" s="26"/>
      <c r="H28" s="26"/>
      <c r="I28" s="26"/>
      <c r="J28" s="26"/>
      <c r="K28" s="121"/>
      <c r="L28" s="218"/>
      <c r="M28" s="218"/>
      <c r="N28" s="218"/>
      <c r="O28" s="218"/>
      <c r="P28" s="218"/>
      <c r="Q28" s="218"/>
      <c r="R28" s="220"/>
      <c r="S28" s="110"/>
      <c r="T28" s="110"/>
      <c r="U28" s="104"/>
      <c r="V28" s="104"/>
      <c r="W28" s="104"/>
      <c r="X28" s="104"/>
      <c r="Y28" s="104"/>
      <c r="Z28" s="104"/>
      <c r="AA28" s="104"/>
      <c r="AB28" s="104"/>
      <c r="AC28" s="104"/>
      <c r="AD28" s="104"/>
      <c r="AE28" s="104"/>
      <c r="AF28" s="111"/>
      <c r="AG28" s="121"/>
      <c r="AH28" s="116"/>
      <c r="AI28" s="116"/>
      <c r="AJ28" s="116"/>
      <c r="AK28" s="116"/>
      <c r="AL28" s="116"/>
      <c r="AM28" s="116"/>
      <c r="AN28" s="116"/>
      <c r="AO28" s="116"/>
      <c r="AP28" s="116"/>
      <c r="AQ28" s="116"/>
      <c r="AR28" s="116"/>
      <c r="AS28" s="116"/>
      <c r="AT28" s="220"/>
      <c r="AU28" s="105"/>
    </row>
    <row r="29" spans="1:47" hidden="1" outlineLevel="1" x14ac:dyDescent="0.2">
      <c r="A29" s="88">
        <v>6</v>
      </c>
      <c r="B29" s="32" t="s">
        <v>108</v>
      </c>
      <c r="C29" s="189">
        <v>105980</v>
      </c>
      <c r="D29" s="189">
        <v>136402.68806666892</v>
      </c>
      <c r="E29" s="189">
        <v>0</v>
      </c>
      <c r="F29" s="189">
        <v>4800</v>
      </c>
      <c r="G29" s="189">
        <v>0</v>
      </c>
      <c r="H29" s="189">
        <v>0</v>
      </c>
      <c r="I29" s="189">
        <f>SUM(C29:H29)</f>
        <v>247182.68806666892</v>
      </c>
      <c r="J29" s="194"/>
      <c r="K29" s="121"/>
      <c r="L29" s="207"/>
      <c r="M29" s="207"/>
      <c r="N29" s="207"/>
      <c r="O29" s="207"/>
      <c r="P29" s="207"/>
      <c r="Q29" s="207"/>
      <c r="R29" s="220"/>
      <c r="S29" s="166">
        <v>0</v>
      </c>
      <c r="T29" s="166">
        <v>0</v>
      </c>
      <c r="U29" s="166">
        <v>0</v>
      </c>
      <c r="V29" s="166">
        <v>128.52099999999999</v>
      </c>
      <c r="W29" s="166">
        <v>156.47999999999999</v>
      </c>
      <c r="X29" s="166">
        <v>0</v>
      </c>
      <c r="Y29" s="166">
        <v>0</v>
      </c>
      <c r="Z29" s="166">
        <v>0</v>
      </c>
      <c r="AA29" s="166">
        <v>217.08</v>
      </c>
      <c r="AB29" s="166">
        <v>147.54</v>
      </c>
      <c r="AC29" s="166">
        <v>0</v>
      </c>
      <c r="AD29" s="166">
        <v>628.70000000000005</v>
      </c>
      <c r="AE29" s="166">
        <v>1379.46</v>
      </c>
      <c r="AF29" s="167">
        <f t="shared" ref="AF29:AF31" si="15">SUM(S29:AE29)</f>
        <v>2657.7809999999999</v>
      </c>
      <c r="AG29" s="121"/>
      <c r="AH29" s="207"/>
      <c r="AI29" s="207"/>
      <c r="AJ29" s="207"/>
      <c r="AK29" s="207"/>
      <c r="AL29" s="207"/>
      <c r="AM29" s="207"/>
      <c r="AN29" s="207"/>
      <c r="AO29" s="207"/>
      <c r="AP29" s="207"/>
      <c r="AQ29" s="207"/>
      <c r="AR29" s="207"/>
      <c r="AS29" s="207"/>
      <c r="AT29" s="220"/>
      <c r="AU29" s="98">
        <f>I29-AF29</f>
        <v>244524.90706666894</v>
      </c>
    </row>
    <row r="30" spans="1:47" hidden="1" outlineLevel="1" x14ac:dyDescent="0.2">
      <c r="A30" s="88">
        <v>6</v>
      </c>
      <c r="B30" s="32" t="s">
        <v>109</v>
      </c>
      <c r="C30" s="189">
        <v>64000</v>
      </c>
      <c r="D30" s="189">
        <v>98601.774149822581</v>
      </c>
      <c r="E30" s="189">
        <v>0</v>
      </c>
      <c r="F30" s="189">
        <v>3600</v>
      </c>
      <c r="G30" s="189">
        <v>0</v>
      </c>
      <c r="H30" s="189">
        <v>0</v>
      </c>
      <c r="I30" s="189">
        <f>SUM(C30:H30)</f>
        <v>166201.7741498226</v>
      </c>
      <c r="J30" s="194"/>
      <c r="K30" s="121"/>
      <c r="L30" s="207"/>
      <c r="M30" s="207"/>
      <c r="N30" s="207"/>
      <c r="O30" s="207"/>
      <c r="P30" s="207"/>
      <c r="Q30" s="207"/>
      <c r="R30" s="220"/>
      <c r="S30" s="166">
        <v>0</v>
      </c>
      <c r="T30" s="166">
        <v>0</v>
      </c>
      <c r="U30" s="166">
        <v>0</v>
      </c>
      <c r="V30" s="166">
        <v>301.39</v>
      </c>
      <c r="W30" s="166">
        <v>0</v>
      </c>
      <c r="X30" s="166">
        <v>0</v>
      </c>
      <c r="Y30" s="166">
        <v>0</v>
      </c>
      <c r="Z30" s="166">
        <v>0</v>
      </c>
      <c r="AA30" s="166">
        <v>383.77</v>
      </c>
      <c r="AB30" s="166">
        <v>6832.35</v>
      </c>
      <c r="AC30" s="166">
        <v>0</v>
      </c>
      <c r="AD30" s="166">
        <v>0</v>
      </c>
      <c r="AE30" s="166">
        <v>868.44</v>
      </c>
      <c r="AF30" s="167">
        <f t="shared" si="15"/>
        <v>8385.9500000000007</v>
      </c>
      <c r="AG30" s="121"/>
      <c r="AH30" s="207"/>
      <c r="AI30" s="207"/>
      <c r="AJ30" s="207"/>
      <c r="AK30" s="207"/>
      <c r="AL30" s="207"/>
      <c r="AM30" s="207"/>
      <c r="AN30" s="207"/>
      <c r="AO30" s="207"/>
      <c r="AP30" s="207"/>
      <c r="AQ30" s="207"/>
      <c r="AR30" s="207"/>
      <c r="AS30" s="207"/>
      <c r="AT30" s="220"/>
      <c r="AU30" s="98">
        <f>I30-AF30</f>
        <v>157815.82414982258</v>
      </c>
    </row>
    <row r="31" spans="1:47" ht="13.5" hidden="1" outlineLevel="1" thickBot="1" x14ac:dyDescent="0.25">
      <c r="A31" s="88">
        <v>6</v>
      </c>
      <c r="B31" s="32" t="s">
        <v>110</v>
      </c>
      <c r="C31" s="190">
        <v>279885</v>
      </c>
      <c r="D31" s="190">
        <v>315496.04241660552</v>
      </c>
      <c r="E31" s="190">
        <v>0</v>
      </c>
      <c r="F31" s="190">
        <v>7500</v>
      </c>
      <c r="G31" s="190">
        <v>0</v>
      </c>
      <c r="H31" s="190">
        <v>0</v>
      </c>
      <c r="I31" s="190">
        <f>SUM(C31:H31)</f>
        <v>602881.04241660552</v>
      </c>
      <c r="J31" s="194"/>
      <c r="K31" s="121"/>
      <c r="L31" s="207"/>
      <c r="M31" s="207"/>
      <c r="N31" s="207"/>
      <c r="O31" s="207"/>
      <c r="P31" s="207"/>
      <c r="Q31" s="207"/>
      <c r="R31" s="220"/>
      <c r="S31" s="168">
        <v>665545.26</v>
      </c>
      <c r="T31" s="168">
        <v>182753.1</v>
      </c>
      <c r="U31" s="168">
        <v>0</v>
      </c>
      <c r="V31" s="168">
        <v>751.17</v>
      </c>
      <c r="W31" s="168">
        <v>1080.24</v>
      </c>
      <c r="X31" s="168">
        <v>0</v>
      </c>
      <c r="Y31" s="168">
        <v>0</v>
      </c>
      <c r="Z31" s="168">
        <v>12628.02</v>
      </c>
      <c r="AA31" s="168">
        <v>1301.1300000000001</v>
      </c>
      <c r="AB31" s="168">
        <v>9369.4500000000007</v>
      </c>
      <c r="AC31" s="168">
        <v>6412.5</v>
      </c>
      <c r="AD31" s="168">
        <v>0</v>
      </c>
      <c r="AE31" s="168">
        <v>9273.5499999999993</v>
      </c>
      <c r="AF31" s="169">
        <f t="shared" si="15"/>
        <v>889114.42</v>
      </c>
      <c r="AG31" s="121"/>
      <c r="AH31" s="207"/>
      <c r="AI31" s="207"/>
      <c r="AJ31" s="207"/>
      <c r="AK31" s="207"/>
      <c r="AL31" s="207"/>
      <c r="AM31" s="207"/>
      <c r="AN31" s="207"/>
      <c r="AO31" s="207"/>
      <c r="AP31" s="207"/>
      <c r="AQ31" s="207"/>
      <c r="AR31" s="207"/>
      <c r="AS31" s="207"/>
      <c r="AT31" s="220"/>
      <c r="AU31" s="98">
        <f>I31-AF31</f>
        <v>-286233.37758339453</v>
      </c>
    </row>
    <row r="32" spans="1:47" collapsed="1" x14ac:dyDescent="0.2">
      <c r="A32" s="40">
        <v>6</v>
      </c>
      <c r="B32" s="45" t="s">
        <v>4</v>
      </c>
      <c r="C32" s="191">
        <f t="shared" ref="C32:H32" si="16">SUM(C29:C31)</f>
        <v>449865</v>
      </c>
      <c r="D32" s="191">
        <f t="shared" si="16"/>
        <v>550500.50463309698</v>
      </c>
      <c r="E32" s="191">
        <f t="shared" si="16"/>
        <v>0</v>
      </c>
      <c r="F32" s="191">
        <f t="shared" si="16"/>
        <v>15900</v>
      </c>
      <c r="G32" s="191">
        <f t="shared" si="16"/>
        <v>0</v>
      </c>
      <c r="H32" s="191">
        <f t="shared" si="16"/>
        <v>0</v>
      </c>
      <c r="I32" s="191">
        <f>SUM(C32:H32)</f>
        <v>1016265.504633097</v>
      </c>
      <c r="J32" s="195"/>
      <c r="K32" s="121"/>
      <c r="L32" s="207">
        <f>C32/I32</f>
        <v>0.44266483310620197</v>
      </c>
      <c r="M32" s="207">
        <f>D32/I32</f>
        <v>0.54168964913538475</v>
      </c>
      <c r="N32" s="207">
        <f>E32/I32</f>
        <v>0</v>
      </c>
      <c r="O32" s="207">
        <f>F32/I32</f>
        <v>1.5645517758413326E-2</v>
      </c>
      <c r="P32" s="207">
        <f>G32/I32</f>
        <v>0</v>
      </c>
      <c r="Q32" s="207">
        <f>H32/I32</f>
        <v>0</v>
      </c>
      <c r="R32" s="220"/>
      <c r="S32" s="170">
        <f>SUM(S29:S31)</f>
        <v>665545.26</v>
      </c>
      <c r="T32" s="170">
        <f t="shared" ref="T32:AE32" si="17">SUM(T29:T31)</f>
        <v>182753.1</v>
      </c>
      <c r="U32" s="170">
        <f t="shared" si="17"/>
        <v>0</v>
      </c>
      <c r="V32" s="170">
        <f t="shared" si="17"/>
        <v>1181.0809999999999</v>
      </c>
      <c r="W32" s="170">
        <f t="shared" si="17"/>
        <v>1236.72</v>
      </c>
      <c r="X32" s="170">
        <f t="shared" si="17"/>
        <v>0</v>
      </c>
      <c r="Y32" s="170">
        <f t="shared" si="17"/>
        <v>0</v>
      </c>
      <c r="Z32" s="170">
        <f t="shared" si="17"/>
        <v>12628.02</v>
      </c>
      <c r="AA32" s="170">
        <f t="shared" si="17"/>
        <v>1901.98</v>
      </c>
      <c r="AB32" s="170">
        <f t="shared" si="17"/>
        <v>16349.34</v>
      </c>
      <c r="AC32" s="170">
        <f t="shared" si="17"/>
        <v>6412.5</v>
      </c>
      <c r="AD32" s="170">
        <f t="shared" si="17"/>
        <v>628.70000000000005</v>
      </c>
      <c r="AE32" s="170">
        <f t="shared" si="17"/>
        <v>11521.449999999999</v>
      </c>
      <c r="AF32" s="172">
        <f>SUM(S32:AE32)</f>
        <v>900158.15099999984</v>
      </c>
      <c r="AG32" s="121"/>
      <c r="AH32" s="207">
        <f>(S32+T32)/AF32</f>
        <v>0.94238813374917729</v>
      </c>
      <c r="AI32" s="207">
        <f>U32/AF32</f>
        <v>0</v>
      </c>
      <c r="AJ32" s="207">
        <f>V32/AF32</f>
        <v>1.3120816588595219E-3</v>
      </c>
      <c r="AK32" s="207">
        <f>W32/AF32</f>
        <v>1.3738919084675381E-3</v>
      </c>
      <c r="AL32" s="207">
        <f>X32/AF32</f>
        <v>0</v>
      </c>
      <c r="AM32" s="207">
        <f>Y32/AF32</f>
        <v>0</v>
      </c>
      <c r="AN32" s="207">
        <f>Z32/AF32</f>
        <v>1.4028668169000452E-2</v>
      </c>
      <c r="AO32" s="207">
        <f>AA32/AF32</f>
        <v>2.11293981828311E-3</v>
      </c>
      <c r="AP32" s="207">
        <f>AB32/AF32</f>
        <v>1.8162741715816562E-2</v>
      </c>
      <c r="AQ32" s="207">
        <f>AC32/AF32</f>
        <v>7.1237481912220122E-3</v>
      </c>
      <c r="AR32" s="207">
        <f>AD32/AF32</f>
        <v>6.9843282461150562E-4</v>
      </c>
      <c r="AS32" s="207">
        <f>AE32/AF32</f>
        <v>1.279936196456216E-2</v>
      </c>
      <c r="AT32" s="220"/>
      <c r="AU32" s="124">
        <f>I32-AF32</f>
        <v>116107.35363309714</v>
      </c>
    </row>
    <row r="33" spans="1:47" x14ac:dyDescent="0.2">
      <c r="A33" s="91"/>
      <c r="B33" s="26"/>
      <c r="C33" s="26"/>
      <c r="D33" s="26"/>
      <c r="E33" s="26"/>
      <c r="F33" s="26"/>
      <c r="G33" s="26"/>
      <c r="H33" s="26"/>
      <c r="I33" s="26"/>
      <c r="J33" s="26"/>
      <c r="K33" s="121"/>
      <c r="L33" s="218"/>
      <c r="M33" s="218"/>
      <c r="N33" s="218"/>
      <c r="O33" s="218"/>
      <c r="P33" s="218"/>
      <c r="Q33" s="218"/>
      <c r="R33" s="220"/>
      <c r="S33" s="104"/>
      <c r="T33" s="104"/>
      <c r="U33" s="104"/>
      <c r="V33" s="104"/>
      <c r="W33" s="104"/>
      <c r="X33" s="104"/>
      <c r="Y33" s="104"/>
      <c r="Z33" s="104"/>
      <c r="AA33" s="104"/>
      <c r="AB33" s="104"/>
      <c r="AC33" s="104"/>
      <c r="AD33" s="104"/>
      <c r="AE33" s="104"/>
      <c r="AF33" s="81"/>
      <c r="AG33" s="121"/>
      <c r="AH33" s="116"/>
      <c r="AI33" s="116"/>
      <c r="AJ33" s="116"/>
      <c r="AK33" s="116"/>
      <c r="AL33" s="116"/>
      <c r="AM33" s="116"/>
      <c r="AN33" s="116"/>
      <c r="AO33" s="116"/>
      <c r="AP33" s="116"/>
      <c r="AQ33" s="116"/>
      <c r="AR33" s="116"/>
      <c r="AS33" s="116"/>
      <c r="AT33" s="220"/>
      <c r="AU33" s="105"/>
    </row>
    <row r="34" spans="1:47" hidden="1" outlineLevel="1" x14ac:dyDescent="0.2">
      <c r="A34" s="88">
        <v>7</v>
      </c>
      <c r="B34" s="32" t="s">
        <v>111</v>
      </c>
      <c r="C34" s="189">
        <v>140000</v>
      </c>
      <c r="D34" s="189">
        <v>227785.0803556304</v>
      </c>
      <c r="E34" s="189">
        <v>0</v>
      </c>
      <c r="F34" s="189">
        <v>6000</v>
      </c>
      <c r="G34" s="189">
        <v>0</v>
      </c>
      <c r="H34" s="189">
        <v>0</v>
      </c>
      <c r="I34" s="189">
        <f>SUM(C34:H34)</f>
        <v>373785.08035563037</v>
      </c>
      <c r="J34" s="194"/>
      <c r="K34" s="121"/>
      <c r="L34" s="217"/>
      <c r="M34" s="217"/>
      <c r="N34" s="217"/>
      <c r="O34" s="217"/>
      <c r="P34" s="217"/>
      <c r="Q34" s="217"/>
      <c r="R34" s="220"/>
      <c r="S34" s="166">
        <v>261351.18</v>
      </c>
      <c r="T34" s="166">
        <v>71712.709999999992</v>
      </c>
      <c r="U34" s="166">
        <v>0</v>
      </c>
      <c r="V34" s="166">
        <v>2915.45</v>
      </c>
      <c r="W34" s="166">
        <v>915.88</v>
      </c>
      <c r="X34" s="166">
        <v>13200</v>
      </c>
      <c r="Y34" s="166">
        <v>3524.45</v>
      </c>
      <c r="Z34" s="166">
        <v>1955.98</v>
      </c>
      <c r="AA34" s="166">
        <v>102.06</v>
      </c>
      <c r="AB34" s="166">
        <v>114.29</v>
      </c>
      <c r="AC34" s="166">
        <v>4894.26</v>
      </c>
      <c r="AD34" s="166">
        <v>120</v>
      </c>
      <c r="AE34" s="166">
        <v>5798.4</v>
      </c>
      <c r="AF34" s="167">
        <f t="shared" ref="AF34:AF35" si="18">SUM(S34:AE34)</f>
        <v>366604.66000000003</v>
      </c>
      <c r="AG34" s="121"/>
      <c r="AH34" s="217"/>
      <c r="AI34" s="217"/>
      <c r="AJ34" s="217"/>
      <c r="AK34" s="217"/>
      <c r="AL34" s="217"/>
      <c r="AM34" s="217"/>
      <c r="AN34" s="217"/>
      <c r="AO34" s="217"/>
      <c r="AP34" s="217"/>
      <c r="AQ34" s="217"/>
      <c r="AR34" s="217"/>
      <c r="AS34" s="217"/>
      <c r="AT34" s="220"/>
      <c r="AU34" s="98">
        <f>I34-AF34</f>
        <v>7180.4203556303401</v>
      </c>
    </row>
    <row r="35" spans="1:47" ht="13.5" hidden="1" outlineLevel="1" thickBot="1" x14ac:dyDescent="0.25">
      <c r="A35" s="88">
        <v>7</v>
      </c>
      <c r="B35" s="32" t="s">
        <v>112</v>
      </c>
      <c r="C35" s="190">
        <v>998035</v>
      </c>
      <c r="D35" s="190">
        <v>1170194.2980135919</v>
      </c>
      <c r="E35" s="190">
        <v>0</v>
      </c>
      <c r="F35" s="190">
        <v>0</v>
      </c>
      <c r="G35" s="190">
        <v>0</v>
      </c>
      <c r="H35" s="190">
        <v>0</v>
      </c>
      <c r="I35" s="190">
        <f>SUM(C35:H35)</f>
        <v>2168229.2980135921</v>
      </c>
      <c r="J35" s="194"/>
      <c r="K35" s="121"/>
      <c r="L35" s="217"/>
      <c r="M35" s="217"/>
      <c r="N35" s="217"/>
      <c r="O35" s="217"/>
      <c r="P35" s="217"/>
      <c r="Q35" s="217"/>
      <c r="R35" s="220"/>
      <c r="S35" s="168">
        <v>1464689.17</v>
      </c>
      <c r="T35" s="168">
        <v>477309.67000000004</v>
      </c>
      <c r="U35" s="168">
        <v>3999.12</v>
      </c>
      <c r="V35" s="168">
        <v>15701.46</v>
      </c>
      <c r="W35" s="168">
        <v>0</v>
      </c>
      <c r="X35" s="168">
        <v>0</v>
      </c>
      <c r="Y35" s="168">
        <v>0</v>
      </c>
      <c r="Z35" s="168">
        <v>6660.7</v>
      </c>
      <c r="AA35" s="168">
        <v>0</v>
      </c>
      <c r="AB35" s="168">
        <v>5673.91</v>
      </c>
      <c r="AC35" s="168">
        <v>20648.97</v>
      </c>
      <c r="AD35" s="168">
        <v>0</v>
      </c>
      <c r="AE35" s="168">
        <v>53729.93</v>
      </c>
      <c r="AF35" s="169">
        <f t="shared" si="18"/>
        <v>2048412.9299999997</v>
      </c>
      <c r="AG35" s="121"/>
      <c r="AH35" s="217"/>
      <c r="AI35" s="217"/>
      <c r="AJ35" s="217"/>
      <c r="AK35" s="217"/>
      <c r="AL35" s="217"/>
      <c r="AM35" s="217"/>
      <c r="AN35" s="217"/>
      <c r="AO35" s="217"/>
      <c r="AP35" s="217"/>
      <c r="AQ35" s="217"/>
      <c r="AR35" s="217"/>
      <c r="AS35" s="217"/>
      <c r="AT35" s="220"/>
      <c r="AU35" s="98">
        <f>I35-AF35</f>
        <v>119816.36801359244</v>
      </c>
    </row>
    <row r="36" spans="1:47" collapsed="1" x14ac:dyDescent="0.2">
      <c r="A36" s="40">
        <v>7</v>
      </c>
      <c r="B36" s="45" t="s">
        <v>4</v>
      </c>
      <c r="C36" s="191">
        <f t="shared" ref="C36:H36" si="19">SUM(C34:C35)</f>
        <v>1138035</v>
      </c>
      <c r="D36" s="191">
        <f t="shared" si="19"/>
        <v>1397979.3783692224</v>
      </c>
      <c r="E36" s="191">
        <f t="shared" si="19"/>
        <v>0</v>
      </c>
      <c r="F36" s="191">
        <f t="shared" si="19"/>
        <v>6000</v>
      </c>
      <c r="G36" s="191">
        <f t="shared" si="19"/>
        <v>0</v>
      </c>
      <c r="H36" s="191">
        <f t="shared" si="19"/>
        <v>0</v>
      </c>
      <c r="I36" s="191">
        <f>SUM(C36:H36)</f>
        <v>2542014.3783692224</v>
      </c>
      <c r="J36" s="195"/>
      <c r="K36" s="121"/>
      <c r="L36" s="207">
        <f>C36/I36</f>
        <v>0.44769022932517133</v>
      </c>
      <c r="M36" s="207">
        <f>D36/I36</f>
        <v>0.54994943784152295</v>
      </c>
      <c r="N36" s="207">
        <f>E36/I36</f>
        <v>0</v>
      </c>
      <c r="O36" s="207">
        <f>F36/I36</f>
        <v>2.3603328333056785E-3</v>
      </c>
      <c r="P36" s="207">
        <f>G36/I36</f>
        <v>0</v>
      </c>
      <c r="Q36" s="207">
        <f>H36/I36</f>
        <v>0</v>
      </c>
      <c r="R36" s="220"/>
      <c r="S36" s="170">
        <f>SUM(S34:S35)</f>
        <v>1726040.3499999999</v>
      </c>
      <c r="T36" s="170">
        <f t="shared" ref="T36:AE36" si="20">SUM(T34:T35)</f>
        <v>549022.38</v>
      </c>
      <c r="U36" s="170">
        <f t="shared" si="20"/>
        <v>3999.12</v>
      </c>
      <c r="V36" s="170">
        <f t="shared" si="20"/>
        <v>18616.91</v>
      </c>
      <c r="W36" s="170">
        <f t="shared" si="20"/>
        <v>915.88</v>
      </c>
      <c r="X36" s="170">
        <f t="shared" si="20"/>
        <v>13200</v>
      </c>
      <c r="Y36" s="170">
        <f t="shared" si="20"/>
        <v>3524.45</v>
      </c>
      <c r="Z36" s="170">
        <f t="shared" si="20"/>
        <v>8616.68</v>
      </c>
      <c r="AA36" s="170">
        <f t="shared" si="20"/>
        <v>102.06</v>
      </c>
      <c r="AB36" s="170">
        <f t="shared" si="20"/>
        <v>5788.2</v>
      </c>
      <c r="AC36" s="170">
        <f t="shared" si="20"/>
        <v>25543.230000000003</v>
      </c>
      <c r="AD36" s="170">
        <f t="shared" si="20"/>
        <v>120</v>
      </c>
      <c r="AE36" s="170">
        <f t="shared" si="20"/>
        <v>59528.33</v>
      </c>
      <c r="AF36" s="172">
        <f>SUM(S36:AE36)</f>
        <v>2415017.5900000008</v>
      </c>
      <c r="AG36" s="121"/>
      <c r="AH36" s="207">
        <f>(S36+T36)/AF36</f>
        <v>0.94204809911964216</v>
      </c>
      <c r="AI36" s="207">
        <f>U36/AF36</f>
        <v>1.65593824929449E-3</v>
      </c>
      <c r="AJ36" s="207">
        <f>V36/AF36</f>
        <v>7.708809276209037E-3</v>
      </c>
      <c r="AK36" s="207">
        <f>W36/AF36</f>
        <v>3.7924361453615734E-4</v>
      </c>
      <c r="AL36" s="207">
        <f>X36/AF36</f>
        <v>5.4657986983854623E-3</v>
      </c>
      <c r="AM36" s="207">
        <f>Y36/AF36</f>
        <v>1.4593889562518668E-3</v>
      </c>
      <c r="AN36" s="207">
        <f>Z36/AF36</f>
        <v>3.5679574491215187E-3</v>
      </c>
      <c r="AO36" s="207">
        <f>AA36/AF36</f>
        <v>4.2260561754334868E-5</v>
      </c>
      <c r="AP36" s="207">
        <f>AB36/AF36</f>
        <v>2.3967527292420251E-3</v>
      </c>
      <c r="AQ36" s="207">
        <f>AC36/AF36</f>
        <v>1.0576829794436401E-2</v>
      </c>
      <c r="AR36" s="207">
        <f>AD36/AF36</f>
        <v>4.9689079076231475E-5</v>
      </c>
      <c r="AS36" s="207">
        <f>AE36/AF36</f>
        <v>2.4649232472050021E-2</v>
      </c>
      <c r="AT36" s="220"/>
      <c r="AU36" s="124">
        <f>I36-AF36</f>
        <v>126996.78836922161</v>
      </c>
    </row>
    <row r="37" spans="1:47" x14ac:dyDescent="0.2">
      <c r="A37" s="91"/>
      <c r="B37" s="26"/>
      <c r="C37" s="26"/>
      <c r="D37" s="26"/>
      <c r="E37" s="26"/>
      <c r="F37" s="26"/>
      <c r="G37" s="26"/>
      <c r="H37" s="26"/>
      <c r="I37" s="26"/>
      <c r="J37" s="26"/>
      <c r="K37" s="121"/>
      <c r="L37" s="218"/>
      <c r="M37" s="218"/>
      <c r="N37" s="218"/>
      <c r="O37" s="218"/>
      <c r="P37" s="218"/>
      <c r="Q37" s="218"/>
      <c r="R37" s="220"/>
      <c r="S37" s="104"/>
      <c r="T37" s="104"/>
      <c r="U37" s="104"/>
      <c r="V37" s="104"/>
      <c r="W37" s="104"/>
      <c r="X37" s="104"/>
      <c r="Y37" s="104"/>
      <c r="Z37" s="104"/>
      <c r="AA37" s="104"/>
      <c r="AB37" s="104"/>
      <c r="AC37" s="104"/>
      <c r="AD37" s="104"/>
      <c r="AE37" s="104"/>
      <c r="AF37" s="81"/>
      <c r="AG37" s="121"/>
      <c r="AH37" s="116"/>
      <c r="AI37" s="116"/>
      <c r="AJ37" s="116"/>
      <c r="AK37" s="116"/>
      <c r="AL37" s="116"/>
      <c r="AM37" s="116"/>
      <c r="AN37" s="116"/>
      <c r="AO37" s="116"/>
      <c r="AP37" s="116"/>
      <c r="AQ37" s="116"/>
      <c r="AR37" s="116"/>
      <c r="AS37" s="116"/>
      <c r="AT37" s="220"/>
      <c r="AU37" s="105"/>
    </row>
    <row r="38" spans="1:47" hidden="1" outlineLevel="1" x14ac:dyDescent="0.2">
      <c r="A38" s="88">
        <v>8</v>
      </c>
      <c r="B38" s="32" t="s">
        <v>113</v>
      </c>
      <c r="C38" s="189">
        <v>26790</v>
      </c>
      <c r="D38" s="189">
        <v>104615.18173175992</v>
      </c>
      <c r="E38" s="189">
        <v>0</v>
      </c>
      <c r="F38" s="189">
        <v>2000</v>
      </c>
      <c r="G38" s="189">
        <v>0</v>
      </c>
      <c r="H38" s="189">
        <v>0</v>
      </c>
      <c r="I38" s="189">
        <f>SUM(C38:H38)</f>
        <v>133405.18173175992</v>
      </c>
      <c r="J38" s="194"/>
      <c r="K38" s="121"/>
      <c r="L38" s="207"/>
      <c r="M38" s="207"/>
      <c r="N38" s="207"/>
      <c r="O38" s="207"/>
      <c r="P38" s="207"/>
      <c r="Q38" s="207"/>
      <c r="R38" s="220"/>
      <c r="S38" s="166">
        <v>57836.49</v>
      </c>
      <c r="T38" s="166">
        <v>18086.38</v>
      </c>
      <c r="U38" s="166">
        <v>0</v>
      </c>
      <c r="V38" s="166">
        <v>4564.68</v>
      </c>
      <c r="W38" s="166">
        <v>907.54</v>
      </c>
      <c r="X38" s="166">
        <v>0</v>
      </c>
      <c r="Y38" s="166">
        <v>0</v>
      </c>
      <c r="Z38" s="166">
        <v>1301.55</v>
      </c>
      <c r="AA38" s="166">
        <v>0</v>
      </c>
      <c r="AB38" s="166">
        <v>10088.41</v>
      </c>
      <c r="AC38" s="166">
        <v>1600.46</v>
      </c>
      <c r="AD38" s="166">
        <v>0</v>
      </c>
      <c r="AE38" s="166">
        <v>4893.6100000000006</v>
      </c>
      <c r="AF38" s="167">
        <f t="shared" ref="AF38:AF41" si="21">SUM(S38:AE38)</f>
        <v>99279.12</v>
      </c>
      <c r="AG38" s="121"/>
      <c r="AH38" s="207"/>
      <c r="AI38" s="207"/>
      <c r="AJ38" s="207"/>
      <c r="AK38" s="207"/>
      <c r="AL38" s="207"/>
      <c r="AM38" s="207"/>
      <c r="AN38" s="207"/>
      <c r="AO38" s="207"/>
      <c r="AP38" s="207"/>
      <c r="AQ38" s="207"/>
      <c r="AR38" s="207"/>
      <c r="AS38" s="207"/>
      <c r="AT38" s="220"/>
      <c r="AU38" s="98">
        <f>I38-AF38</f>
        <v>34126.061731759924</v>
      </c>
    </row>
    <row r="39" spans="1:47" hidden="1" outlineLevel="1" x14ac:dyDescent="0.2">
      <c r="A39" s="88">
        <v>8</v>
      </c>
      <c r="B39" s="32" t="s">
        <v>114</v>
      </c>
      <c r="C39" s="189">
        <v>126500</v>
      </c>
      <c r="D39" s="189">
        <v>286721.41380242078</v>
      </c>
      <c r="E39" s="189">
        <v>0</v>
      </c>
      <c r="F39" s="189">
        <v>0</v>
      </c>
      <c r="G39" s="189">
        <v>0</v>
      </c>
      <c r="H39" s="189">
        <v>0</v>
      </c>
      <c r="I39" s="189">
        <f>SUM(C39:H39)</f>
        <v>413221.41380242078</v>
      </c>
      <c r="J39" s="194"/>
      <c r="K39" s="121"/>
      <c r="L39" s="207"/>
      <c r="M39" s="207"/>
      <c r="N39" s="207"/>
      <c r="O39" s="207"/>
      <c r="P39" s="207"/>
      <c r="Q39" s="207"/>
      <c r="R39" s="220"/>
      <c r="S39" s="166">
        <v>216773.52</v>
      </c>
      <c r="T39" s="166">
        <v>48713.38</v>
      </c>
      <c r="U39" s="166">
        <v>0</v>
      </c>
      <c r="V39" s="166">
        <v>9129.36</v>
      </c>
      <c r="W39" s="166">
        <v>1815.09</v>
      </c>
      <c r="X39" s="166">
        <v>2210</v>
      </c>
      <c r="Y39" s="166">
        <v>0</v>
      </c>
      <c r="Z39" s="166">
        <v>3904.66</v>
      </c>
      <c r="AA39" s="166">
        <v>1940.76</v>
      </c>
      <c r="AB39" s="166">
        <v>28717.86</v>
      </c>
      <c r="AC39" s="166">
        <v>4801.38</v>
      </c>
      <c r="AD39" s="166">
        <v>1014.44</v>
      </c>
      <c r="AE39" s="166">
        <v>18216.16</v>
      </c>
      <c r="AF39" s="167">
        <f t="shared" si="21"/>
        <v>337236.60999999993</v>
      </c>
      <c r="AG39" s="121"/>
      <c r="AH39" s="207"/>
      <c r="AI39" s="207"/>
      <c r="AJ39" s="207"/>
      <c r="AK39" s="207"/>
      <c r="AL39" s="207"/>
      <c r="AM39" s="207"/>
      <c r="AN39" s="207"/>
      <c r="AO39" s="207"/>
      <c r="AP39" s="207"/>
      <c r="AQ39" s="207"/>
      <c r="AR39" s="207"/>
      <c r="AS39" s="207"/>
      <c r="AT39" s="220"/>
      <c r="AU39" s="98">
        <f>I39-AF39</f>
        <v>75984.803802420851</v>
      </c>
    </row>
    <row r="40" spans="1:47" hidden="1" outlineLevel="1" x14ac:dyDescent="0.2">
      <c r="A40" s="88">
        <v>8</v>
      </c>
      <c r="B40" s="32" t="s">
        <v>115</v>
      </c>
      <c r="C40" s="189">
        <v>62000</v>
      </c>
      <c r="D40" s="189">
        <v>273863.17609812767</v>
      </c>
      <c r="E40" s="189">
        <v>0</v>
      </c>
      <c r="F40" s="189">
        <v>4500</v>
      </c>
      <c r="G40" s="189">
        <v>0</v>
      </c>
      <c r="H40" s="189">
        <v>0</v>
      </c>
      <c r="I40" s="189">
        <f>SUM(C40:H40)</f>
        <v>340363.17609812767</v>
      </c>
      <c r="J40" s="194"/>
      <c r="K40" s="121"/>
      <c r="L40" s="207"/>
      <c r="M40" s="207"/>
      <c r="N40" s="207"/>
      <c r="O40" s="207"/>
      <c r="P40" s="207"/>
      <c r="Q40" s="207"/>
      <c r="R40" s="220"/>
      <c r="S40" s="166">
        <v>271666.81</v>
      </c>
      <c r="T40" s="166">
        <v>61733.299999999996</v>
      </c>
      <c r="U40" s="166">
        <v>0</v>
      </c>
      <c r="V40" s="166">
        <v>9990.5</v>
      </c>
      <c r="W40" s="166">
        <v>1815.09</v>
      </c>
      <c r="X40" s="166">
        <v>102</v>
      </c>
      <c r="Y40" s="166">
        <v>0</v>
      </c>
      <c r="Z40" s="166">
        <v>0</v>
      </c>
      <c r="AA40" s="166">
        <v>1297.6199999999999</v>
      </c>
      <c r="AB40" s="166">
        <v>12900</v>
      </c>
      <c r="AC40" s="166">
        <v>9887.34</v>
      </c>
      <c r="AD40" s="166">
        <v>231.43</v>
      </c>
      <c r="AE40" s="166">
        <v>9465.56</v>
      </c>
      <c r="AF40" s="167">
        <f t="shared" si="21"/>
        <v>379089.65</v>
      </c>
      <c r="AG40" s="121"/>
      <c r="AH40" s="207"/>
      <c r="AI40" s="207"/>
      <c r="AJ40" s="207"/>
      <c r="AK40" s="207"/>
      <c r="AL40" s="207"/>
      <c r="AM40" s="207"/>
      <c r="AN40" s="207"/>
      <c r="AO40" s="207"/>
      <c r="AP40" s="207"/>
      <c r="AQ40" s="207"/>
      <c r="AR40" s="207"/>
      <c r="AS40" s="207"/>
      <c r="AT40" s="220"/>
      <c r="AU40" s="98">
        <f>I40-AF40</f>
        <v>-38726.473901872349</v>
      </c>
    </row>
    <row r="41" spans="1:47" ht="13.5" hidden="1" outlineLevel="1" thickBot="1" x14ac:dyDescent="0.25">
      <c r="A41" s="88">
        <v>8</v>
      </c>
      <c r="B41" s="32" t="s">
        <v>116</v>
      </c>
      <c r="C41" s="190">
        <v>87192</v>
      </c>
      <c r="D41" s="190">
        <v>154381.17151492508</v>
      </c>
      <c r="E41" s="190">
        <v>0</v>
      </c>
      <c r="F41" s="190">
        <v>0</v>
      </c>
      <c r="G41" s="190">
        <v>0</v>
      </c>
      <c r="H41" s="190">
        <v>0</v>
      </c>
      <c r="I41" s="190">
        <f>SUM(C41:H41)</f>
        <v>241573.17151492508</v>
      </c>
      <c r="J41" s="194"/>
      <c r="K41" s="121"/>
      <c r="L41" s="207"/>
      <c r="M41" s="207"/>
      <c r="N41" s="207"/>
      <c r="O41" s="207"/>
      <c r="P41" s="207"/>
      <c r="Q41" s="207"/>
      <c r="R41" s="220"/>
      <c r="S41" s="168">
        <v>112678.92</v>
      </c>
      <c r="T41" s="168">
        <v>23592</v>
      </c>
      <c r="U41" s="168">
        <v>0</v>
      </c>
      <c r="V41" s="168">
        <v>200</v>
      </c>
      <c r="W41" s="168">
        <v>100</v>
      </c>
      <c r="X41" s="168">
        <v>0</v>
      </c>
      <c r="Y41" s="168">
        <v>0</v>
      </c>
      <c r="Z41" s="168">
        <v>2200</v>
      </c>
      <c r="AA41" s="168">
        <v>0</v>
      </c>
      <c r="AB41" s="168">
        <v>7595.83</v>
      </c>
      <c r="AC41" s="168">
        <v>1250</v>
      </c>
      <c r="AD41" s="168">
        <v>0</v>
      </c>
      <c r="AE41" s="168">
        <v>2506.6</v>
      </c>
      <c r="AF41" s="169">
        <f t="shared" si="21"/>
        <v>150123.34999999998</v>
      </c>
      <c r="AG41" s="121"/>
      <c r="AH41" s="207"/>
      <c r="AI41" s="207"/>
      <c r="AJ41" s="207"/>
      <c r="AK41" s="207"/>
      <c r="AL41" s="207"/>
      <c r="AM41" s="207"/>
      <c r="AN41" s="207"/>
      <c r="AO41" s="207"/>
      <c r="AP41" s="207"/>
      <c r="AQ41" s="207"/>
      <c r="AR41" s="207"/>
      <c r="AS41" s="207"/>
      <c r="AT41" s="220"/>
      <c r="AU41" s="98">
        <f>I41-AF41</f>
        <v>91449.821514925105</v>
      </c>
    </row>
    <row r="42" spans="1:47" collapsed="1" x14ac:dyDescent="0.2">
      <c r="A42" s="40">
        <v>8</v>
      </c>
      <c r="B42" s="45" t="s">
        <v>4</v>
      </c>
      <c r="C42" s="191">
        <f t="shared" ref="C42:H42" si="22">SUM(C38:C41)</f>
        <v>302482</v>
      </c>
      <c r="D42" s="191">
        <f t="shared" si="22"/>
        <v>819580.94314723345</v>
      </c>
      <c r="E42" s="191">
        <f t="shared" si="22"/>
        <v>0</v>
      </c>
      <c r="F42" s="191">
        <f t="shared" si="22"/>
        <v>6500</v>
      </c>
      <c r="G42" s="191">
        <f t="shared" si="22"/>
        <v>0</v>
      </c>
      <c r="H42" s="191">
        <f t="shared" si="22"/>
        <v>0</v>
      </c>
      <c r="I42" s="191">
        <f>SUM(C42:H42)</f>
        <v>1128562.9431472335</v>
      </c>
      <c r="J42" s="196"/>
      <c r="K42" s="121"/>
      <c r="L42" s="207">
        <f>C42/I42</f>
        <v>0.26802404051693013</v>
      </c>
      <c r="M42" s="207">
        <f>D42/I42</f>
        <v>0.72621642250777863</v>
      </c>
      <c r="N42" s="207">
        <f>E42/I42</f>
        <v>0</v>
      </c>
      <c r="O42" s="207">
        <f>F42/I42</f>
        <v>5.7595369752912427E-3</v>
      </c>
      <c r="P42" s="207">
        <f>G42/I42</f>
        <v>0</v>
      </c>
      <c r="Q42" s="207">
        <f>H42/I42</f>
        <v>0</v>
      </c>
      <c r="R42" s="220"/>
      <c r="S42" s="170">
        <f>SUM(S38:S41)</f>
        <v>658955.74000000011</v>
      </c>
      <c r="T42" s="170">
        <f t="shared" ref="T42:AE42" si="23">SUM(T38:T41)</f>
        <v>152125.06</v>
      </c>
      <c r="U42" s="170">
        <f t="shared" si="23"/>
        <v>0</v>
      </c>
      <c r="V42" s="170">
        <f t="shared" si="23"/>
        <v>23884.54</v>
      </c>
      <c r="W42" s="170">
        <f t="shared" si="23"/>
        <v>4637.72</v>
      </c>
      <c r="X42" s="170">
        <f t="shared" si="23"/>
        <v>2312</v>
      </c>
      <c r="Y42" s="170">
        <f t="shared" si="23"/>
        <v>0</v>
      </c>
      <c r="Z42" s="170">
        <f t="shared" si="23"/>
        <v>7406.21</v>
      </c>
      <c r="AA42" s="170">
        <f t="shared" si="23"/>
        <v>3238.38</v>
      </c>
      <c r="AB42" s="170">
        <f t="shared" si="23"/>
        <v>59302.100000000006</v>
      </c>
      <c r="AC42" s="170">
        <f t="shared" si="23"/>
        <v>17539.18</v>
      </c>
      <c r="AD42" s="170">
        <f t="shared" si="23"/>
        <v>1245.8700000000001</v>
      </c>
      <c r="AE42" s="170">
        <f t="shared" si="23"/>
        <v>35081.93</v>
      </c>
      <c r="AF42" s="172">
        <f>SUM(S42:AE42)</f>
        <v>965728.7300000001</v>
      </c>
      <c r="AG42" s="121"/>
      <c r="AH42" s="207">
        <f>(S42+T42)/AF42</f>
        <v>0.83986400611691436</v>
      </c>
      <c r="AI42" s="207">
        <f>U42/AF42</f>
        <v>0</v>
      </c>
      <c r="AJ42" s="207">
        <f>V42/AF42</f>
        <v>2.4732141913185082E-2</v>
      </c>
      <c r="AK42" s="207">
        <f>W42/AF42</f>
        <v>4.8023009525666694E-3</v>
      </c>
      <c r="AL42" s="207">
        <f>X42/AF42</f>
        <v>2.3940470322344038E-3</v>
      </c>
      <c r="AM42" s="207">
        <f>Y42/AF42</f>
        <v>0</v>
      </c>
      <c r="AN42" s="207">
        <f>Z42/AF42</f>
        <v>7.6690376602961781E-3</v>
      </c>
      <c r="AO42" s="207">
        <f>AA42/AF42</f>
        <v>3.353301915331855E-3</v>
      </c>
      <c r="AP42" s="207">
        <f>AB42/AF42</f>
        <v>6.1406581535582976E-2</v>
      </c>
      <c r="AQ42" s="207">
        <f>AC42/AF42</f>
        <v>1.8161601136169988E-2</v>
      </c>
      <c r="AR42" s="207">
        <f>AD42/AF42</f>
        <v>1.2900827751080783E-3</v>
      </c>
      <c r="AS42" s="207">
        <f>AE42/AF42</f>
        <v>3.6326898962610335E-2</v>
      </c>
      <c r="AT42" s="220"/>
      <c r="AU42" s="124">
        <f>I42-AF42</f>
        <v>162834.21314723336</v>
      </c>
    </row>
    <row r="43" spans="1:47" x14ac:dyDescent="0.2">
      <c r="A43" s="91"/>
      <c r="B43" s="26"/>
      <c r="C43" s="26"/>
      <c r="D43" s="26"/>
      <c r="E43" s="26"/>
      <c r="F43" s="26"/>
      <c r="G43" s="26"/>
      <c r="H43" s="26"/>
      <c r="I43" s="26"/>
      <c r="J43" s="26"/>
      <c r="K43" s="121"/>
      <c r="L43" s="218"/>
      <c r="M43" s="218"/>
      <c r="N43" s="218"/>
      <c r="O43" s="218"/>
      <c r="P43" s="218"/>
      <c r="Q43" s="218"/>
      <c r="R43" s="220"/>
      <c r="S43" s="112"/>
      <c r="T43" s="112"/>
      <c r="U43" s="104"/>
      <c r="V43" s="104"/>
      <c r="W43" s="104"/>
      <c r="X43" s="104"/>
      <c r="Y43" s="104"/>
      <c r="Z43" s="104"/>
      <c r="AA43" s="104"/>
      <c r="AB43" s="104"/>
      <c r="AC43" s="104"/>
      <c r="AD43" s="104"/>
      <c r="AE43" s="104"/>
      <c r="AF43" s="111"/>
      <c r="AG43" s="121"/>
      <c r="AH43" s="116"/>
      <c r="AI43" s="116"/>
      <c r="AJ43" s="116"/>
      <c r="AK43" s="116"/>
      <c r="AL43" s="116"/>
      <c r="AM43" s="116"/>
      <c r="AN43" s="116"/>
      <c r="AO43" s="116"/>
      <c r="AP43" s="116"/>
      <c r="AQ43" s="116"/>
      <c r="AR43" s="116"/>
      <c r="AS43" s="116"/>
      <c r="AT43" s="220"/>
      <c r="AU43" s="105"/>
    </row>
    <row r="44" spans="1:47" ht="25.5" hidden="1" outlineLevel="1" x14ac:dyDescent="0.2">
      <c r="A44" s="88">
        <v>9</v>
      </c>
      <c r="B44" s="32" t="s">
        <v>118</v>
      </c>
      <c r="C44" s="189">
        <v>475608.96</v>
      </c>
      <c r="D44" s="189">
        <v>731993.45968136995</v>
      </c>
      <c r="E44" s="189">
        <v>0</v>
      </c>
      <c r="F44" s="189">
        <v>0</v>
      </c>
      <c r="G44" s="189">
        <v>44920.94</v>
      </c>
      <c r="H44" s="189">
        <v>0</v>
      </c>
      <c r="I44" s="189">
        <f>SUM(C44:H44)</f>
        <v>1252523.35968137</v>
      </c>
      <c r="J44" s="194" t="s">
        <v>158</v>
      </c>
      <c r="K44" s="121"/>
      <c r="L44" s="217"/>
      <c r="M44" s="217"/>
      <c r="N44" s="217"/>
      <c r="O44" s="217"/>
      <c r="P44" s="217"/>
      <c r="Q44" s="217"/>
      <c r="R44" s="220"/>
      <c r="S44" s="166">
        <v>669070.77</v>
      </c>
      <c r="T44" s="166">
        <v>253126.67</v>
      </c>
      <c r="U44" s="166">
        <v>2027.12</v>
      </c>
      <c r="V44" s="166">
        <v>5579.97</v>
      </c>
      <c r="W44" s="166">
        <v>786.58</v>
      </c>
      <c r="X44" s="166">
        <v>44250.98</v>
      </c>
      <c r="Y44" s="166">
        <v>4289.63</v>
      </c>
      <c r="Z44" s="166">
        <v>9521.64</v>
      </c>
      <c r="AA44" s="166">
        <v>608.30999999999995</v>
      </c>
      <c r="AB44" s="166">
        <v>92590.52</v>
      </c>
      <c r="AC44" s="166">
        <v>6252.69</v>
      </c>
      <c r="AD44" s="166">
        <v>0</v>
      </c>
      <c r="AE44" s="166">
        <v>59859.310000000005</v>
      </c>
      <c r="AF44" s="167">
        <f t="shared" ref="AF44:AF45" si="24">SUM(S44:AE44)</f>
        <v>1147964.19</v>
      </c>
      <c r="AG44" s="121"/>
      <c r="AH44" s="217"/>
      <c r="AI44" s="217"/>
      <c r="AJ44" s="217"/>
      <c r="AK44" s="217"/>
      <c r="AL44" s="217"/>
      <c r="AM44" s="217"/>
      <c r="AN44" s="217"/>
      <c r="AO44" s="217"/>
      <c r="AP44" s="217"/>
      <c r="AQ44" s="217"/>
      <c r="AR44" s="217"/>
      <c r="AS44" s="217"/>
      <c r="AT44" s="220"/>
      <c r="AU44" s="98">
        <f>I44-AF44</f>
        <v>104559.16968137003</v>
      </c>
    </row>
    <row r="45" spans="1:47" ht="26.25" hidden="1" outlineLevel="1" thickBot="1" x14ac:dyDescent="0.25">
      <c r="A45" s="88">
        <v>9</v>
      </c>
      <c r="B45" s="32" t="s">
        <v>119</v>
      </c>
      <c r="C45" s="190">
        <v>3130000</v>
      </c>
      <c r="D45" s="190">
        <v>1441443.843848523</v>
      </c>
      <c r="E45" s="190">
        <v>0</v>
      </c>
      <c r="F45" s="190">
        <v>50000</v>
      </c>
      <c r="G45" s="190">
        <v>422097.56</v>
      </c>
      <c r="H45" s="190">
        <v>0</v>
      </c>
      <c r="I45" s="190">
        <f>SUM(C45:H45)</f>
        <v>5043541.4038485223</v>
      </c>
      <c r="J45" s="194" t="s">
        <v>158</v>
      </c>
      <c r="K45" s="121"/>
      <c r="L45" s="217"/>
      <c r="M45" s="217"/>
      <c r="N45" s="217"/>
      <c r="O45" s="217"/>
      <c r="P45" s="217"/>
      <c r="Q45" s="217"/>
      <c r="R45" s="220"/>
      <c r="S45" s="168">
        <v>2925388.27</v>
      </c>
      <c r="T45" s="168">
        <v>1154671.32</v>
      </c>
      <c r="U45" s="168">
        <v>7788.34</v>
      </c>
      <c r="V45" s="168">
        <v>49793.279999999999</v>
      </c>
      <c r="W45" s="168">
        <v>15410.9</v>
      </c>
      <c r="X45" s="168">
        <v>0</v>
      </c>
      <c r="Y45" s="168">
        <v>0</v>
      </c>
      <c r="Z45" s="168">
        <v>39785</v>
      </c>
      <c r="AA45" s="168">
        <v>14787.76</v>
      </c>
      <c r="AB45" s="168">
        <v>386514.88</v>
      </c>
      <c r="AC45" s="168">
        <v>28267.94</v>
      </c>
      <c r="AD45" s="168">
        <v>30273.08</v>
      </c>
      <c r="AE45" s="168">
        <v>118378.63</v>
      </c>
      <c r="AF45" s="169">
        <f t="shared" si="24"/>
        <v>4771059.3999999994</v>
      </c>
      <c r="AG45" s="121"/>
      <c r="AH45" s="217"/>
      <c r="AI45" s="217"/>
      <c r="AJ45" s="217"/>
      <c r="AK45" s="217"/>
      <c r="AL45" s="217"/>
      <c r="AM45" s="217"/>
      <c r="AN45" s="217"/>
      <c r="AO45" s="217"/>
      <c r="AP45" s="217"/>
      <c r="AQ45" s="217"/>
      <c r="AR45" s="217"/>
      <c r="AS45" s="217"/>
      <c r="AT45" s="220"/>
      <c r="AU45" s="103">
        <f>I45-AF45</f>
        <v>272482.0038485229</v>
      </c>
    </row>
    <row r="46" spans="1:47" collapsed="1" x14ac:dyDescent="0.2">
      <c r="A46" s="40">
        <v>9</v>
      </c>
      <c r="B46" s="45" t="s">
        <v>4</v>
      </c>
      <c r="C46" s="191">
        <f t="shared" ref="C46:I46" si="25">SUM(C44:C45)</f>
        <v>3605608.96</v>
      </c>
      <c r="D46" s="191">
        <f t="shared" si="25"/>
        <v>2173437.303529893</v>
      </c>
      <c r="E46" s="191">
        <f t="shared" si="25"/>
        <v>0</v>
      </c>
      <c r="F46" s="191">
        <f t="shared" si="25"/>
        <v>50000</v>
      </c>
      <c r="G46" s="191">
        <f t="shared" si="25"/>
        <v>467018.5</v>
      </c>
      <c r="H46" s="191">
        <f t="shared" si="25"/>
        <v>0</v>
      </c>
      <c r="I46" s="191">
        <f t="shared" si="25"/>
        <v>6296064.7635298921</v>
      </c>
      <c r="J46" s="196"/>
      <c r="K46" s="121"/>
      <c r="L46" s="207">
        <f>C46/I46</f>
        <v>0.57267659965722995</v>
      </c>
      <c r="M46" s="207">
        <f>D46/I46</f>
        <v>0.34520567769880345</v>
      </c>
      <c r="N46" s="207">
        <f>E46/I46</f>
        <v>0</v>
      </c>
      <c r="O46" s="207">
        <f>F46/I46</f>
        <v>7.9414685010272146E-3</v>
      </c>
      <c r="P46" s="207">
        <f>G46/I46</f>
        <v>7.4176254142939574E-2</v>
      </c>
      <c r="Q46" s="207">
        <f>H46/I46</f>
        <v>0</v>
      </c>
      <c r="R46" s="220"/>
      <c r="S46" s="170">
        <f>SUM(S44:S45)</f>
        <v>3594459.04</v>
      </c>
      <c r="T46" s="170">
        <f>SUM(T44:T45)</f>
        <v>1407797.99</v>
      </c>
      <c r="U46" s="170">
        <f>SUM(U44:U45)</f>
        <v>9815.4599999999991</v>
      </c>
      <c r="V46" s="170">
        <f t="shared" ref="V46:AE46" si="26">SUM(V44:V45)</f>
        <v>55373.25</v>
      </c>
      <c r="W46" s="170">
        <f t="shared" si="26"/>
        <v>16197.48</v>
      </c>
      <c r="X46" s="170">
        <f t="shared" si="26"/>
        <v>44250.98</v>
      </c>
      <c r="Y46" s="170">
        <f t="shared" si="26"/>
        <v>4289.63</v>
      </c>
      <c r="Z46" s="170">
        <f t="shared" si="26"/>
        <v>49306.64</v>
      </c>
      <c r="AA46" s="170">
        <f t="shared" si="26"/>
        <v>15396.07</v>
      </c>
      <c r="AB46" s="170">
        <f t="shared" si="26"/>
        <v>479105.4</v>
      </c>
      <c r="AC46" s="170">
        <f t="shared" si="26"/>
        <v>34520.629999999997</v>
      </c>
      <c r="AD46" s="170">
        <f t="shared" si="26"/>
        <v>30273.08</v>
      </c>
      <c r="AE46" s="170">
        <f t="shared" si="26"/>
        <v>178237.94</v>
      </c>
      <c r="AF46" s="172">
        <f>SUM(S46:AE46)</f>
        <v>5919023.5900000017</v>
      </c>
      <c r="AG46" s="121"/>
      <c r="AH46" s="207">
        <f>(S46+T46)/AF46</f>
        <v>0.84511523800161081</v>
      </c>
      <c r="AI46" s="207">
        <f>U46/AF46</f>
        <v>1.6582904005625016E-3</v>
      </c>
      <c r="AJ46" s="207">
        <f>V46/AF46</f>
        <v>9.3551325075898178E-3</v>
      </c>
      <c r="AK46" s="207">
        <f>W46/AF46</f>
        <v>2.7365121550394084E-3</v>
      </c>
      <c r="AL46" s="207">
        <f>X46/AF46</f>
        <v>7.4760607602173774E-3</v>
      </c>
      <c r="AM46" s="207">
        <f>Y46/AF46</f>
        <v>7.2471919308569584E-4</v>
      </c>
      <c r="AN46" s="207">
        <f>Z46/AF46</f>
        <v>8.3301982582569822E-3</v>
      </c>
      <c r="AO46" s="207">
        <f>AA46/AF46</f>
        <v>2.6011165128672843E-3</v>
      </c>
      <c r="AP46" s="207">
        <f>AB46/AF46</f>
        <v>8.0943316531029388E-2</v>
      </c>
      <c r="AQ46" s="207">
        <f>AC46/AF46</f>
        <v>5.8321494204418246E-3</v>
      </c>
      <c r="AR46" s="207">
        <f>AD46/AF46</f>
        <v>5.1145395080272006E-3</v>
      </c>
      <c r="AS46" s="207">
        <f>AE46/AF46</f>
        <v>3.0112726751271478E-2</v>
      </c>
      <c r="AT46" s="220"/>
      <c r="AU46" s="124">
        <f>I46-AF46</f>
        <v>377041.17352989037</v>
      </c>
    </row>
    <row r="47" spans="1:47" x14ac:dyDescent="0.2">
      <c r="A47" s="90"/>
      <c r="B47" s="72"/>
      <c r="C47" s="10"/>
      <c r="D47" s="10"/>
      <c r="E47" s="10"/>
      <c r="F47" s="10"/>
      <c r="G47" s="10"/>
      <c r="H47" s="10"/>
      <c r="I47" s="10"/>
      <c r="J47" s="72"/>
      <c r="K47" s="121"/>
      <c r="L47" s="218"/>
      <c r="M47" s="218"/>
      <c r="N47" s="218"/>
      <c r="O47" s="218"/>
      <c r="P47" s="218"/>
      <c r="Q47" s="218"/>
      <c r="R47" s="220"/>
      <c r="S47" s="112"/>
      <c r="T47" s="112"/>
      <c r="U47" s="104"/>
      <c r="V47" s="104"/>
      <c r="W47" s="104"/>
      <c r="X47" s="104"/>
      <c r="Y47" s="104"/>
      <c r="Z47" s="104"/>
      <c r="AA47" s="104"/>
      <c r="AB47" s="104"/>
      <c r="AC47" s="104"/>
      <c r="AD47" s="104"/>
      <c r="AE47" s="104"/>
      <c r="AF47" s="111"/>
      <c r="AG47" s="121"/>
      <c r="AH47" s="116"/>
      <c r="AI47" s="116"/>
      <c r="AJ47" s="116"/>
      <c r="AK47" s="116"/>
      <c r="AL47" s="116"/>
      <c r="AM47" s="116"/>
      <c r="AN47" s="116"/>
      <c r="AO47" s="116"/>
      <c r="AP47" s="116"/>
      <c r="AQ47" s="116"/>
      <c r="AR47" s="116"/>
      <c r="AS47" s="116"/>
      <c r="AT47" s="220"/>
      <c r="AU47" s="105"/>
    </row>
    <row r="48" spans="1:47" hidden="1" outlineLevel="1" x14ac:dyDescent="0.2">
      <c r="A48" s="88">
        <v>10</v>
      </c>
      <c r="B48" s="32" t="s">
        <v>120</v>
      </c>
      <c r="C48" s="189">
        <v>338755</v>
      </c>
      <c r="D48" s="189">
        <v>770201.85296208481</v>
      </c>
      <c r="E48" s="189">
        <v>0</v>
      </c>
      <c r="F48" s="189">
        <v>49678</v>
      </c>
      <c r="G48" s="189">
        <v>0</v>
      </c>
      <c r="H48" s="189">
        <v>0</v>
      </c>
      <c r="I48" s="189">
        <f>SUM(C48:H48)</f>
        <v>1158634.8529620848</v>
      </c>
      <c r="J48" s="194"/>
      <c r="K48" s="121"/>
      <c r="L48" s="207"/>
      <c r="M48" s="207"/>
      <c r="N48" s="207"/>
      <c r="O48" s="207"/>
      <c r="P48" s="207"/>
      <c r="Q48" s="207"/>
      <c r="R48" s="220"/>
      <c r="S48" s="166">
        <v>558909.81000000006</v>
      </c>
      <c r="T48" s="166">
        <v>126799.32</v>
      </c>
      <c r="U48" s="166">
        <v>0</v>
      </c>
      <c r="V48" s="166">
        <v>0</v>
      </c>
      <c r="W48" s="166">
        <v>2510.79</v>
      </c>
      <c r="X48" s="166">
        <v>1020</v>
      </c>
      <c r="Y48" s="166">
        <v>0</v>
      </c>
      <c r="Z48" s="166">
        <v>517.21</v>
      </c>
      <c r="AA48" s="166">
        <v>10607.27</v>
      </c>
      <c r="AB48" s="166">
        <v>2455.5100000000002</v>
      </c>
      <c r="AC48" s="166">
        <v>1849</v>
      </c>
      <c r="AD48" s="166">
        <v>1849</v>
      </c>
      <c r="AE48" s="166">
        <v>18375.809999999998</v>
      </c>
      <c r="AF48" s="167">
        <f t="shared" ref="AF48:AF49" si="27">SUM(S48:AE48)</f>
        <v>724893.7200000002</v>
      </c>
      <c r="AG48" s="121"/>
      <c r="AH48" s="207"/>
      <c r="AI48" s="207"/>
      <c r="AJ48" s="207"/>
      <c r="AK48" s="207"/>
      <c r="AL48" s="207"/>
      <c r="AM48" s="207"/>
      <c r="AN48" s="207"/>
      <c r="AO48" s="207"/>
      <c r="AP48" s="207"/>
      <c r="AQ48" s="207"/>
      <c r="AR48" s="207"/>
      <c r="AS48" s="207"/>
      <c r="AT48" s="220"/>
      <c r="AU48" s="98">
        <f>I48-AF48</f>
        <v>433741.13296208461</v>
      </c>
    </row>
    <row r="49" spans="1:47" ht="39" hidden="1" outlineLevel="1" thickBot="1" x14ac:dyDescent="0.25">
      <c r="A49" s="88">
        <v>10</v>
      </c>
      <c r="B49" s="32" t="s">
        <v>121</v>
      </c>
      <c r="C49" s="190">
        <v>200000</v>
      </c>
      <c r="D49" s="190">
        <v>305704.18982425169</v>
      </c>
      <c r="E49" s="190">
        <v>0</v>
      </c>
      <c r="F49" s="190">
        <v>5338</v>
      </c>
      <c r="G49" s="190">
        <v>459.37</v>
      </c>
      <c r="H49" s="190">
        <v>0</v>
      </c>
      <c r="I49" s="190">
        <f>SUM(C49:H49)</f>
        <v>511501.55982425169</v>
      </c>
      <c r="J49" s="194" t="s">
        <v>159</v>
      </c>
      <c r="K49" s="121"/>
      <c r="L49" s="207"/>
      <c r="M49" s="207"/>
      <c r="N49" s="207"/>
      <c r="O49" s="207"/>
      <c r="P49" s="207"/>
      <c r="Q49" s="207"/>
      <c r="R49" s="220"/>
      <c r="S49" s="168">
        <v>338575.97</v>
      </c>
      <c r="T49" s="168">
        <v>117579.22</v>
      </c>
      <c r="U49" s="168">
        <v>0</v>
      </c>
      <c r="V49" s="168">
        <v>0</v>
      </c>
      <c r="W49" s="168">
        <v>0</v>
      </c>
      <c r="X49" s="168">
        <v>0</v>
      </c>
      <c r="Y49" s="168">
        <v>0</v>
      </c>
      <c r="Z49" s="168">
        <v>0</v>
      </c>
      <c r="AA49" s="168">
        <v>5111.78</v>
      </c>
      <c r="AB49" s="168">
        <v>519.4</v>
      </c>
      <c r="AC49" s="168">
        <v>1200</v>
      </c>
      <c r="AD49" s="168">
        <v>0</v>
      </c>
      <c r="AE49" s="168">
        <v>11999.89</v>
      </c>
      <c r="AF49" s="169">
        <f t="shared" si="27"/>
        <v>474986.26</v>
      </c>
      <c r="AG49" s="121"/>
      <c r="AH49" s="207"/>
      <c r="AI49" s="207"/>
      <c r="AJ49" s="207"/>
      <c r="AK49" s="207"/>
      <c r="AL49" s="207"/>
      <c r="AM49" s="207"/>
      <c r="AN49" s="207"/>
      <c r="AO49" s="207"/>
      <c r="AP49" s="207"/>
      <c r="AQ49" s="207"/>
      <c r="AR49" s="207"/>
      <c r="AS49" s="207"/>
      <c r="AT49" s="220"/>
      <c r="AU49" s="98">
        <f>I49-AF49</f>
        <v>36515.299824251677</v>
      </c>
    </row>
    <row r="50" spans="1:47" collapsed="1" x14ac:dyDescent="0.2">
      <c r="A50" s="40">
        <v>10</v>
      </c>
      <c r="B50" s="45" t="s">
        <v>4</v>
      </c>
      <c r="C50" s="191">
        <f t="shared" ref="C50:H50" si="28">SUM(C48:C49)</f>
        <v>538755</v>
      </c>
      <c r="D50" s="191">
        <f t="shared" si="28"/>
        <v>1075906.0427863365</v>
      </c>
      <c r="E50" s="191">
        <f t="shared" si="28"/>
        <v>0</v>
      </c>
      <c r="F50" s="191">
        <f t="shared" si="28"/>
        <v>55016</v>
      </c>
      <c r="G50" s="191">
        <f t="shared" si="28"/>
        <v>459.37</v>
      </c>
      <c r="H50" s="191">
        <f t="shared" si="28"/>
        <v>0</v>
      </c>
      <c r="I50" s="191">
        <f>SUM(C50:H50)</f>
        <v>1670136.4127863366</v>
      </c>
      <c r="J50" s="196"/>
      <c r="K50" s="121"/>
      <c r="L50" s="207">
        <f>C50/I50</f>
        <v>0.32258143459142929</v>
      </c>
      <c r="M50" s="207">
        <f>D50/I50</f>
        <v>0.64420249420906373</v>
      </c>
      <c r="N50" s="207">
        <f>E50/I50</f>
        <v>0</v>
      </c>
      <c r="O50" s="207">
        <f>F50/I50</f>
        <v>3.2941021810437163E-2</v>
      </c>
      <c r="P50" s="207">
        <f>G50/I50</f>
        <v>2.7504938906973463E-4</v>
      </c>
      <c r="Q50" s="207">
        <f>H50/I50</f>
        <v>0</v>
      </c>
      <c r="R50" s="220"/>
      <c r="S50" s="171">
        <f>SUM(S48:S49)</f>
        <v>897485.78</v>
      </c>
      <c r="T50" s="171">
        <f t="shared" ref="T50:AE50" si="29">SUM(T48:T49)</f>
        <v>244378.54</v>
      </c>
      <c r="U50" s="171">
        <f t="shared" si="29"/>
        <v>0</v>
      </c>
      <c r="V50" s="171">
        <f t="shared" si="29"/>
        <v>0</v>
      </c>
      <c r="W50" s="171">
        <f t="shared" si="29"/>
        <v>2510.79</v>
      </c>
      <c r="X50" s="171">
        <f t="shared" si="29"/>
        <v>1020</v>
      </c>
      <c r="Y50" s="171">
        <f t="shared" si="29"/>
        <v>0</v>
      </c>
      <c r="Z50" s="171">
        <f t="shared" si="29"/>
        <v>517.21</v>
      </c>
      <c r="AA50" s="171">
        <f t="shared" si="29"/>
        <v>15719.05</v>
      </c>
      <c r="AB50" s="171">
        <f t="shared" si="29"/>
        <v>2974.9100000000003</v>
      </c>
      <c r="AC50" s="171">
        <f t="shared" si="29"/>
        <v>3049</v>
      </c>
      <c r="AD50" s="171">
        <f t="shared" si="29"/>
        <v>1849</v>
      </c>
      <c r="AE50" s="171">
        <f t="shared" si="29"/>
        <v>30375.699999999997</v>
      </c>
      <c r="AF50" s="172">
        <f>SUM(S50:AE50)</f>
        <v>1199879.98</v>
      </c>
      <c r="AG50" s="121"/>
      <c r="AH50" s="207">
        <f>(S50+T50)/AF50</f>
        <v>0.95164878073888692</v>
      </c>
      <c r="AI50" s="207">
        <f>U50/AF50</f>
        <v>0</v>
      </c>
      <c r="AJ50" s="207">
        <f>V50/AF50</f>
        <v>0</v>
      </c>
      <c r="AK50" s="207">
        <f>W50/AF50</f>
        <v>2.0925342883044021E-3</v>
      </c>
      <c r="AL50" s="207">
        <f>X50/AF50</f>
        <v>8.5008502267035072E-4</v>
      </c>
      <c r="AM50" s="207">
        <f>Y50/AF50</f>
        <v>0</v>
      </c>
      <c r="AN50" s="207">
        <f>Z50/AF50</f>
        <v>4.3105144566209035E-4</v>
      </c>
      <c r="AO50" s="207">
        <f>AA50/AF50</f>
        <v>1.3100518603535663E-2</v>
      </c>
      <c r="AP50" s="207">
        <f>AB50/AF50</f>
        <v>2.4793396419531895E-3</v>
      </c>
      <c r="AQ50" s="207">
        <f>AC50/AF50</f>
        <v>2.5410874844332349E-3</v>
      </c>
      <c r="AR50" s="207">
        <f>AD50/AF50</f>
        <v>1.5409874577622339E-3</v>
      </c>
      <c r="AS50" s="207">
        <f>AE50/AF50</f>
        <v>2.5315615316791933E-2</v>
      </c>
      <c r="AT50" s="220"/>
      <c r="AU50" s="124">
        <f>I50-AF50</f>
        <v>470256.43278633663</v>
      </c>
    </row>
    <row r="51" spans="1:47" x14ac:dyDescent="0.2">
      <c r="A51" s="90"/>
      <c r="B51" s="72"/>
      <c r="C51" s="10"/>
      <c r="D51" s="10"/>
      <c r="E51" s="10"/>
      <c r="F51" s="10"/>
      <c r="G51" s="10"/>
      <c r="H51" s="10"/>
      <c r="I51" s="10"/>
      <c r="J51" s="69"/>
      <c r="K51" s="121"/>
      <c r="L51" s="218"/>
      <c r="M51" s="218"/>
      <c r="N51" s="218"/>
      <c r="O51" s="218"/>
      <c r="P51" s="218"/>
      <c r="Q51" s="218"/>
      <c r="R51" s="220"/>
      <c r="S51" s="110"/>
      <c r="T51" s="110"/>
      <c r="U51" s="104"/>
      <c r="V51" s="104"/>
      <c r="W51" s="104"/>
      <c r="X51" s="104"/>
      <c r="Y51" s="104"/>
      <c r="Z51" s="104"/>
      <c r="AA51" s="104"/>
      <c r="AB51" s="104"/>
      <c r="AC51" s="104"/>
      <c r="AD51" s="104"/>
      <c r="AE51" s="104"/>
      <c r="AF51" s="111"/>
      <c r="AG51" s="121"/>
      <c r="AH51" s="116"/>
      <c r="AI51" s="116"/>
      <c r="AJ51" s="116"/>
      <c r="AK51" s="116"/>
      <c r="AL51" s="116"/>
      <c r="AM51" s="116"/>
      <c r="AN51" s="116"/>
      <c r="AO51" s="116"/>
      <c r="AP51" s="116"/>
      <c r="AQ51" s="116"/>
      <c r="AR51" s="116"/>
      <c r="AS51" s="116"/>
      <c r="AT51" s="220"/>
      <c r="AU51" s="105"/>
    </row>
    <row r="52" spans="1:47" hidden="1" outlineLevel="1" x14ac:dyDescent="0.2">
      <c r="A52" s="88">
        <v>11</v>
      </c>
      <c r="B52" s="32" t="s">
        <v>122</v>
      </c>
      <c r="C52" s="189">
        <v>25000</v>
      </c>
      <c r="D52" s="189">
        <v>111068.99630292882</v>
      </c>
      <c r="E52" s="189">
        <v>0</v>
      </c>
      <c r="F52" s="189">
        <v>0</v>
      </c>
      <c r="G52" s="189">
        <v>0</v>
      </c>
      <c r="H52" s="189">
        <v>0</v>
      </c>
      <c r="I52" s="189">
        <f>SUM(C52:H52)</f>
        <v>136068.99630292883</v>
      </c>
      <c r="J52" s="194"/>
      <c r="K52" s="121"/>
      <c r="L52" s="207"/>
      <c r="M52" s="207"/>
      <c r="N52" s="207"/>
      <c r="O52" s="207"/>
      <c r="P52" s="207"/>
      <c r="Q52" s="207"/>
      <c r="R52" s="220"/>
      <c r="S52" s="166">
        <v>56000</v>
      </c>
      <c r="T52" s="166">
        <v>19065.2</v>
      </c>
      <c r="U52" s="166">
        <v>3597.5</v>
      </c>
      <c r="V52" s="166">
        <v>0</v>
      </c>
      <c r="W52" s="166">
        <v>100</v>
      </c>
      <c r="X52" s="166">
        <v>0</v>
      </c>
      <c r="Y52" s="166">
        <v>0</v>
      </c>
      <c r="Z52" s="166">
        <v>0</v>
      </c>
      <c r="AA52" s="166">
        <v>0</v>
      </c>
      <c r="AB52" s="166">
        <v>0</v>
      </c>
      <c r="AC52" s="166">
        <v>1000</v>
      </c>
      <c r="AD52" s="166">
        <v>0</v>
      </c>
      <c r="AE52" s="166">
        <v>1000</v>
      </c>
      <c r="AF52" s="167">
        <f t="shared" ref="AF52:AF55" si="30">SUM(S52:AE52)</f>
        <v>80762.7</v>
      </c>
      <c r="AG52" s="121"/>
      <c r="AH52" s="207"/>
      <c r="AI52" s="207"/>
      <c r="AJ52" s="207"/>
      <c r="AK52" s="207"/>
      <c r="AL52" s="207"/>
      <c r="AM52" s="207"/>
      <c r="AN52" s="207"/>
      <c r="AO52" s="207"/>
      <c r="AP52" s="207"/>
      <c r="AQ52" s="207"/>
      <c r="AR52" s="207"/>
      <c r="AS52" s="207"/>
      <c r="AT52" s="220"/>
      <c r="AU52" s="98">
        <f>I52-AF52</f>
        <v>55306.296302928837</v>
      </c>
    </row>
    <row r="53" spans="1:47" hidden="1" outlineLevel="1" x14ac:dyDescent="0.2">
      <c r="A53" s="88">
        <v>11</v>
      </c>
      <c r="B53" s="32" t="s">
        <v>123</v>
      </c>
      <c r="C53" s="189">
        <v>543532</v>
      </c>
      <c r="D53" s="189">
        <v>1079989.0683313615</v>
      </c>
      <c r="E53" s="189">
        <v>0</v>
      </c>
      <c r="F53" s="189">
        <v>400</v>
      </c>
      <c r="G53" s="189">
        <v>0</v>
      </c>
      <c r="H53" s="189">
        <v>0</v>
      </c>
      <c r="I53" s="189">
        <f>SUM(C53:H53)</f>
        <v>1623921.0683313615</v>
      </c>
      <c r="J53" s="194"/>
      <c r="K53" s="121"/>
      <c r="L53" s="207"/>
      <c r="M53" s="207"/>
      <c r="N53" s="207"/>
      <c r="O53" s="207"/>
      <c r="P53" s="207"/>
      <c r="Q53" s="207"/>
      <c r="R53" s="220"/>
      <c r="S53" s="166">
        <v>995511</v>
      </c>
      <c r="T53" s="166">
        <v>356029.75999999995</v>
      </c>
      <c r="U53" s="166">
        <v>14079.92</v>
      </c>
      <c r="V53" s="166">
        <v>485.17</v>
      </c>
      <c r="W53" s="166">
        <v>1118.83</v>
      </c>
      <c r="X53" s="166">
        <v>24850</v>
      </c>
      <c r="Y53" s="166">
        <v>5203.33</v>
      </c>
      <c r="Z53" s="166">
        <v>7552.91</v>
      </c>
      <c r="AA53" s="166">
        <v>0</v>
      </c>
      <c r="AB53" s="166">
        <v>0</v>
      </c>
      <c r="AC53" s="166">
        <v>15403.74</v>
      </c>
      <c r="AD53" s="166">
        <v>38985.26</v>
      </c>
      <c r="AE53" s="166">
        <v>28366.560000000001</v>
      </c>
      <c r="AF53" s="167">
        <f t="shared" si="30"/>
        <v>1487586.48</v>
      </c>
      <c r="AG53" s="121"/>
      <c r="AH53" s="207"/>
      <c r="AI53" s="207"/>
      <c r="AJ53" s="207"/>
      <c r="AK53" s="207"/>
      <c r="AL53" s="207"/>
      <c r="AM53" s="207"/>
      <c r="AN53" s="207"/>
      <c r="AO53" s="207"/>
      <c r="AP53" s="207"/>
      <c r="AQ53" s="207"/>
      <c r="AR53" s="207"/>
      <c r="AS53" s="207"/>
      <c r="AT53" s="220"/>
      <c r="AU53" s="98">
        <f>I53-AF53</f>
        <v>136334.58833136153</v>
      </c>
    </row>
    <row r="54" spans="1:47" hidden="1" outlineLevel="1" x14ac:dyDescent="0.2">
      <c r="A54" s="88">
        <v>11</v>
      </c>
      <c r="B54" s="32" t="s">
        <v>124</v>
      </c>
      <c r="C54" s="189">
        <v>21000</v>
      </c>
      <c r="D54" s="189">
        <v>42118.548792583679</v>
      </c>
      <c r="E54" s="189">
        <v>0</v>
      </c>
      <c r="F54" s="189">
        <v>0</v>
      </c>
      <c r="G54" s="189">
        <v>0</v>
      </c>
      <c r="H54" s="189">
        <v>0</v>
      </c>
      <c r="I54" s="189">
        <f>SUM(C54:H54)</f>
        <v>63118.548792583679</v>
      </c>
      <c r="J54" s="194"/>
      <c r="K54" s="121"/>
      <c r="L54" s="207"/>
      <c r="M54" s="207"/>
      <c r="N54" s="207"/>
      <c r="O54" s="207"/>
      <c r="P54" s="207"/>
      <c r="Q54" s="207"/>
      <c r="R54" s="220"/>
      <c r="S54" s="166">
        <v>0</v>
      </c>
      <c r="T54" s="166">
        <v>0</v>
      </c>
      <c r="U54" s="166">
        <v>5396.26</v>
      </c>
      <c r="V54" s="166">
        <v>0</v>
      </c>
      <c r="W54" s="166">
        <v>100</v>
      </c>
      <c r="X54" s="166">
        <v>0</v>
      </c>
      <c r="Y54" s="166">
        <v>0</v>
      </c>
      <c r="Z54" s="166">
        <v>1111.68</v>
      </c>
      <c r="AA54" s="166">
        <v>0</v>
      </c>
      <c r="AB54" s="166">
        <v>0</v>
      </c>
      <c r="AC54" s="166">
        <v>0</v>
      </c>
      <c r="AD54" s="166">
        <v>0</v>
      </c>
      <c r="AE54" s="166">
        <v>0</v>
      </c>
      <c r="AF54" s="167">
        <f t="shared" si="30"/>
        <v>6607.9400000000005</v>
      </c>
      <c r="AG54" s="121"/>
      <c r="AH54" s="207"/>
      <c r="AI54" s="207"/>
      <c r="AJ54" s="207"/>
      <c r="AK54" s="207"/>
      <c r="AL54" s="207"/>
      <c r="AM54" s="207"/>
      <c r="AN54" s="207"/>
      <c r="AO54" s="207"/>
      <c r="AP54" s="207"/>
      <c r="AQ54" s="207"/>
      <c r="AR54" s="207"/>
      <c r="AS54" s="207"/>
      <c r="AT54" s="220"/>
      <c r="AU54" s="98">
        <f>I54-AF54</f>
        <v>56510.608792583676</v>
      </c>
    </row>
    <row r="55" spans="1:47" ht="13.5" hidden="1" outlineLevel="1" thickBot="1" x14ac:dyDescent="0.25">
      <c r="A55" s="88">
        <v>11</v>
      </c>
      <c r="B55" s="32" t="s">
        <v>125</v>
      </c>
      <c r="C55" s="190">
        <v>20000</v>
      </c>
      <c r="D55" s="190">
        <v>81804.569261467856</v>
      </c>
      <c r="E55" s="190">
        <v>0</v>
      </c>
      <c r="F55" s="190">
        <v>0</v>
      </c>
      <c r="G55" s="190">
        <v>0</v>
      </c>
      <c r="H55" s="190">
        <v>0</v>
      </c>
      <c r="I55" s="190">
        <f>SUM(C55:H55)</f>
        <v>101804.56926146786</v>
      </c>
      <c r="J55" s="194"/>
      <c r="K55" s="121"/>
      <c r="L55" s="207"/>
      <c r="M55" s="207"/>
      <c r="N55" s="207"/>
      <c r="O55" s="207"/>
      <c r="P55" s="207"/>
      <c r="Q55" s="207"/>
      <c r="R55" s="220"/>
      <c r="S55" s="168">
        <v>74061.06</v>
      </c>
      <c r="T55" s="168">
        <v>22617.809999999998</v>
      </c>
      <c r="U55" s="168">
        <v>8993.76</v>
      </c>
      <c r="V55" s="168">
        <v>0</v>
      </c>
      <c r="W55" s="168">
        <v>100</v>
      </c>
      <c r="X55" s="168">
        <v>0</v>
      </c>
      <c r="Y55" s="168">
        <v>0</v>
      </c>
      <c r="Z55" s="168">
        <v>0</v>
      </c>
      <c r="AA55" s="168">
        <v>0</v>
      </c>
      <c r="AB55" s="168">
        <v>0</v>
      </c>
      <c r="AC55" s="168">
        <v>1000</v>
      </c>
      <c r="AD55" s="168">
        <v>0</v>
      </c>
      <c r="AE55" s="168">
        <v>1000</v>
      </c>
      <c r="AF55" s="169">
        <f t="shared" si="30"/>
        <v>107772.62999999999</v>
      </c>
      <c r="AG55" s="121"/>
      <c r="AH55" s="207"/>
      <c r="AI55" s="207"/>
      <c r="AJ55" s="207"/>
      <c r="AK55" s="207"/>
      <c r="AL55" s="207"/>
      <c r="AM55" s="207"/>
      <c r="AN55" s="207"/>
      <c r="AO55" s="207"/>
      <c r="AP55" s="207"/>
      <c r="AQ55" s="207"/>
      <c r="AR55" s="207"/>
      <c r="AS55" s="207"/>
      <c r="AT55" s="220"/>
      <c r="AU55" s="98">
        <f>I55-AF55</f>
        <v>-5968.0607385321346</v>
      </c>
    </row>
    <row r="56" spans="1:47" collapsed="1" x14ac:dyDescent="0.2">
      <c r="A56" s="40">
        <v>11</v>
      </c>
      <c r="B56" s="45" t="s">
        <v>4</v>
      </c>
      <c r="C56" s="191">
        <f t="shared" ref="C56:H56" si="31">SUM(C52:C55)</f>
        <v>609532</v>
      </c>
      <c r="D56" s="191">
        <f t="shared" si="31"/>
        <v>1314981.1826883417</v>
      </c>
      <c r="E56" s="191">
        <f t="shared" si="31"/>
        <v>0</v>
      </c>
      <c r="F56" s="191">
        <f t="shared" si="31"/>
        <v>400</v>
      </c>
      <c r="G56" s="191">
        <f t="shared" si="31"/>
        <v>0</v>
      </c>
      <c r="H56" s="191">
        <f t="shared" si="31"/>
        <v>0</v>
      </c>
      <c r="I56" s="191">
        <f>SUM(C56:H56)</f>
        <v>1924913.1826883417</v>
      </c>
      <c r="J56" s="196"/>
      <c r="K56" s="121"/>
      <c r="L56" s="207">
        <f>C56/I56</f>
        <v>0.31665428107709515</v>
      </c>
      <c r="M56" s="207">
        <f>D56/I56</f>
        <v>0.68313791734328166</v>
      </c>
      <c r="N56" s="207">
        <f>E56/I56</f>
        <v>0</v>
      </c>
      <c r="O56" s="207">
        <f>F56/I56</f>
        <v>2.0780157962311751E-4</v>
      </c>
      <c r="P56" s="207">
        <f>G56/I56</f>
        <v>0</v>
      </c>
      <c r="Q56" s="207">
        <f>H56/I56</f>
        <v>0</v>
      </c>
      <c r="R56" s="220"/>
      <c r="S56" s="171">
        <f t="shared" ref="S56:AF56" si="32">SUM(S52:S55)</f>
        <v>1125572.06</v>
      </c>
      <c r="T56" s="171">
        <f t="shared" si="32"/>
        <v>397712.76999999996</v>
      </c>
      <c r="U56" s="171">
        <f t="shared" si="32"/>
        <v>32067.440000000002</v>
      </c>
      <c r="V56" s="171">
        <f t="shared" si="32"/>
        <v>485.17</v>
      </c>
      <c r="W56" s="171">
        <f t="shared" si="32"/>
        <v>1418.83</v>
      </c>
      <c r="X56" s="171">
        <f t="shared" si="32"/>
        <v>24850</v>
      </c>
      <c r="Y56" s="171">
        <f t="shared" si="32"/>
        <v>5203.33</v>
      </c>
      <c r="Z56" s="171">
        <f t="shared" si="32"/>
        <v>8664.59</v>
      </c>
      <c r="AA56" s="171">
        <f t="shared" si="32"/>
        <v>0</v>
      </c>
      <c r="AB56" s="171">
        <f t="shared" si="32"/>
        <v>0</v>
      </c>
      <c r="AC56" s="171">
        <f t="shared" si="32"/>
        <v>17403.739999999998</v>
      </c>
      <c r="AD56" s="171">
        <f t="shared" si="32"/>
        <v>38985.26</v>
      </c>
      <c r="AE56" s="171">
        <f t="shared" si="32"/>
        <v>30366.560000000001</v>
      </c>
      <c r="AF56" s="172">
        <f t="shared" si="32"/>
        <v>1682729.7499999998</v>
      </c>
      <c r="AG56" s="121"/>
      <c r="AH56" s="207">
        <f>(S56+T56)/AF56</f>
        <v>0.90524627023442139</v>
      </c>
      <c r="AI56" s="207">
        <f>U56/AF56</f>
        <v>1.9056797444747149E-2</v>
      </c>
      <c r="AJ56" s="207">
        <f>V56/AF56</f>
        <v>2.8832318439725696E-4</v>
      </c>
      <c r="AK56" s="207">
        <f>W56/AF56</f>
        <v>8.431716382265186E-4</v>
      </c>
      <c r="AL56" s="207">
        <f>X56/AF56</f>
        <v>1.4767671398214718E-2</v>
      </c>
      <c r="AM56" s="207">
        <f>Y56/AF56</f>
        <v>3.0921958799385346E-3</v>
      </c>
      <c r="AN56" s="207">
        <f>Z56/AF56</f>
        <v>5.1491274817004936E-3</v>
      </c>
      <c r="AO56" s="207">
        <f>AA56/AF56</f>
        <v>0</v>
      </c>
      <c r="AP56" s="207">
        <f>AB56/AF56</f>
        <v>0</v>
      </c>
      <c r="AQ56" s="207">
        <f>AC56/AF56</f>
        <v>1.0342563920320539E-2</v>
      </c>
      <c r="AR56" s="207">
        <f>AD56/AF56</f>
        <v>2.3167867567563959E-2</v>
      </c>
      <c r="AS56" s="207">
        <f>AE56/AF56</f>
        <v>1.8046011250469663E-2</v>
      </c>
      <c r="AT56" s="220"/>
      <c r="AU56" s="124">
        <f>I56-AF56</f>
        <v>242183.43268834194</v>
      </c>
    </row>
    <row r="57" spans="1:47" x14ac:dyDescent="0.2">
      <c r="A57" s="90"/>
      <c r="B57" s="72"/>
      <c r="C57" s="10"/>
      <c r="D57" s="10"/>
      <c r="E57" s="10"/>
      <c r="F57" s="10"/>
      <c r="G57" s="10"/>
      <c r="H57" s="10"/>
      <c r="I57" s="10"/>
      <c r="J57" s="69"/>
      <c r="K57" s="121"/>
      <c r="L57" s="218"/>
      <c r="M57" s="218"/>
      <c r="N57" s="218"/>
      <c r="O57" s="218"/>
      <c r="P57" s="218"/>
      <c r="Q57" s="218"/>
      <c r="R57" s="220"/>
      <c r="S57" s="104"/>
      <c r="T57" s="104"/>
      <c r="U57" s="104"/>
      <c r="V57" s="104"/>
      <c r="W57" s="104"/>
      <c r="X57" s="104"/>
      <c r="Y57" s="104"/>
      <c r="Z57" s="104"/>
      <c r="AA57" s="104"/>
      <c r="AB57" s="104"/>
      <c r="AC57" s="104"/>
      <c r="AD57" s="104"/>
      <c r="AE57" s="104"/>
      <c r="AF57" s="104"/>
      <c r="AG57" s="121"/>
      <c r="AH57" s="116"/>
      <c r="AI57" s="116"/>
      <c r="AJ57" s="116"/>
      <c r="AK57" s="116"/>
      <c r="AL57" s="116"/>
      <c r="AM57" s="116"/>
      <c r="AN57" s="116"/>
      <c r="AO57" s="116"/>
      <c r="AP57" s="116"/>
      <c r="AQ57" s="116"/>
      <c r="AR57" s="116"/>
      <c r="AS57" s="116"/>
      <c r="AT57" s="220"/>
      <c r="AU57" s="104"/>
    </row>
    <row r="58" spans="1:47" ht="25.5" hidden="1" outlineLevel="1" x14ac:dyDescent="0.2">
      <c r="A58" s="88">
        <v>12</v>
      </c>
      <c r="B58" s="32" t="s">
        <v>126</v>
      </c>
      <c r="C58" s="189">
        <v>447384</v>
      </c>
      <c r="D58" s="189">
        <v>563412.24972860515</v>
      </c>
      <c r="E58" s="189">
        <v>0</v>
      </c>
      <c r="F58" s="189">
        <v>3600</v>
      </c>
      <c r="G58" s="189">
        <v>20000</v>
      </c>
      <c r="H58" s="189">
        <v>0</v>
      </c>
      <c r="I58" s="189">
        <f>SUM(C58:H58)</f>
        <v>1034396.2497286052</v>
      </c>
      <c r="J58" s="194" t="s">
        <v>160</v>
      </c>
      <c r="K58" s="121"/>
      <c r="L58" s="217"/>
      <c r="M58" s="217"/>
      <c r="N58" s="217"/>
      <c r="O58" s="217"/>
      <c r="P58" s="217"/>
      <c r="Q58" s="217"/>
      <c r="R58" s="220"/>
      <c r="S58" s="166">
        <v>532408.42999999993</v>
      </c>
      <c r="T58" s="166">
        <v>182151.75</v>
      </c>
      <c r="U58" s="166">
        <v>2277.4299999999998</v>
      </c>
      <c r="V58" s="166">
        <v>14354.29</v>
      </c>
      <c r="W58" s="166">
        <v>372.93</v>
      </c>
      <c r="X58" s="166">
        <v>0</v>
      </c>
      <c r="Y58" s="166">
        <v>1347.46</v>
      </c>
      <c r="Z58" s="166">
        <v>0</v>
      </c>
      <c r="AA58" s="166">
        <v>9333.9699999999993</v>
      </c>
      <c r="AB58" s="166">
        <v>0</v>
      </c>
      <c r="AC58" s="166">
        <v>2150</v>
      </c>
      <c r="AD58" s="166">
        <v>0</v>
      </c>
      <c r="AE58" s="166">
        <v>36550.119999999995</v>
      </c>
      <c r="AF58" s="167">
        <f t="shared" ref="AF58:AF59" si="33">SUM(S58:AE58)</f>
        <v>780946.38</v>
      </c>
      <c r="AG58" s="121"/>
      <c r="AH58" s="217"/>
      <c r="AI58" s="217"/>
      <c r="AJ58" s="217"/>
      <c r="AK58" s="217"/>
      <c r="AL58" s="217"/>
      <c r="AM58" s="217"/>
      <c r="AN58" s="217"/>
      <c r="AO58" s="217"/>
      <c r="AP58" s="217"/>
      <c r="AQ58" s="217"/>
      <c r="AR58" s="217"/>
      <c r="AS58" s="217"/>
      <c r="AT58" s="220"/>
      <c r="AU58" s="98">
        <f>I58-AF58</f>
        <v>253449.86972860515</v>
      </c>
    </row>
    <row r="59" spans="1:47" ht="13.5" hidden="1" outlineLevel="1" thickBot="1" x14ac:dyDescent="0.25">
      <c r="A59" s="88">
        <v>12</v>
      </c>
      <c r="B59" s="32" t="s">
        <v>127</v>
      </c>
      <c r="C59" s="190">
        <v>65184</v>
      </c>
      <c r="D59" s="190">
        <v>136081.64371937863</v>
      </c>
      <c r="E59" s="190">
        <v>0</v>
      </c>
      <c r="F59" s="190">
        <v>0</v>
      </c>
      <c r="G59" s="190">
        <v>0</v>
      </c>
      <c r="H59" s="190">
        <v>0</v>
      </c>
      <c r="I59" s="190">
        <f>SUM(C59:H59)</f>
        <v>201265.64371937863</v>
      </c>
      <c r="J59" s="194"/>
      <c r="K59" s="121"/>
      <c r="L59" s="207"/>
      <c r="M59" s="207"/>
      <c r="N59" s="207"/>
      <c r="O59" s="207"/>
      <c r="P59" s="207"/>
      <c r="Q59" s="207"/>
      <c r="R59" s="220"/>
      <c r="S59" s="168">
        <v>99921.27</v>
      </c>
      <c r="T59" s="168">
        <v>32444.880000000001</v>
      </c>
      <c r="U59" s="168">
        <v>0</v>
      </c>
      <c r="V59" s="168">
        <v>0</v>
      </c>
      <c r="W59" s="168">
        <v>164</v>
      </c>
      <c r="X59" s="168">
        <v>7200</v>
      </c>
      <c r="Y59" s="168">
        <v>1638</v>
      </c>
      <c r="Z59" s="168">
        <v>0</v>
      </c>
      <c r="AA59" s="168">
        <v>2600</v>
      </c>
      <c r="AB59" s="168">
        <v>430</v>
      </c>
      <c r="AC59" s="168">
        <v>535.20000000000005</v>
      </c>
      <c r="AD59" s="168">
        <v>0</v>
      </c>
      <c r="AE59" s="168">
        <v>6374</v>
      </c>
      <c r="AF59" s="169">
        <f t="shared" si="33"/>
        <v>151307.35</v>
      </c>
      <c r="AG59" s="121"/>
      <c r="AH59" s="207"/>
      <c r="AI59" s="207"/>
      <c r="AJ59" s="207"/>
      <c r="AK59" s="207"/>
      <c r="AL59" s="207"/>
      <c r="AM59" s="207"/>
      <c r="AN59" s="207"/>
      <c r="AO59" s="207"/>
      <c r="AP59" s="207"/>
      <c r="AQ59" s="207"/>
      <c r="AR59" s="207"/>
      <c r="AS59" s="207"/>
      <c r="AT59" s="220"/>
      <c r="AU59" s="98">
        <f>I59-AF59</f>
        <v>49958.29371937862</v>
      </c>
    </row>
    <row r="60" spans="1:47" collapsed="1" x14ac:dyDescent="0.2">
      <c r="A60" s="40">
        <v>12</v>
      </c>
      <c r="B60" s="45" t="s">
        <v>4</v>
      </c>
      <c r="C60" s="191">
        <f t="shared" ref="C60:H60" si="34">SUM(C58:C59)</f>
        <v>512568</v>
      </c>
      <c r="D60" s="191">
        <f t="shared" si="34"/>
        <v>699493.89344798378</v>
      </c>
      <c r="E60" s="191">
        <f t="shared" si="34"/>
        <v>0</v>
      </c>
      <c r="F60" s="191">
        <f t="shared" si="34"/>
        <v>3600</v>
      </c>
      <c r="G60" s="191">
        <f t="shared" si="34"/>
        <v>20000</v>
      </c>
      <c r="H60" s="191">
        <f t="shared" si="34"/>
        <v>0</v>
      </c>
      <c r="I60" s="191">
        <f>SUM(C60:H60)</f>
        <v>1235661.8934479838</v>
      </c>
      <c r="J60" s="196"/>
      <c r="K60" s="121"/>
      <c r="L60" s="207">
        <f>C60/I60</f>
        <v>0.41481250066693665</v>
      </c>
      <c r="M60" s="207">
        <f>D60/I60</f>
        <v>0.56608842366751322</v>
      </c>
      <c r="N60" s="207">
        <f>E60/I60</f>
        <v>0</v>
      </c>
      <c r="O60" s="207">
        <f>F60/I60</f>
        <v>2.913418321863581E-3</v>
      </c>
      <c r="P60" s="207">
        <f>G60/I60</f>
        <v>1.6185657343686561E-2</v>
      </c>
      <c r="Q60" s="207">
        <f>H60/I60</f>
        <v>0</v>
      </c>
      <c r="R60" s="220"/>
      <c r="S60" s="171">
        <f>SUM(S58:S59)</f>
        <v>632329.69999999995</v>
      </c>
      <c r="T60" s="171">
        <f t="shared" ref="T60:AE60" si="35">SUM(T58:T59)</f>
        <v>214596.63</v>
      </c>
      <c r="U60" s="171">
        <f t="shared" si="35"/>
        <v>2277.4299999999998</v>
      </c>
      <c r="V60" s="171">
        <f t="shared" si="35"/>
        <v>14354.29</v>
      </c>
      <c r="W60" s="171">
        <f t="shared" si="35"/>
        <v>536.93000000000006</v>
      </c>
      <c r="X60" s="171">
        <f t="shared" si="35"/>
        <v>7200</v>
      </c>
      <c r="Y60" s="171">
        <f t="shared" si="35"/>
        <v>2985.46</v>
      </c>
      <c r="Z60" s="171">
        <f t="shared" si="35"/>
        <v>0</v>
      </c>
      <c r="AA60" s="171">
        <f t="shared" si="35"/>
        <v>11933.97</v>
      </c>
      <c r="AB60" s="171">
        <f t="shared" si="35"/>
        <v>430</v>
      </c>
      <c r="AC60" s="171">
        <f t="shared" si="35"/>
        <v>2685.2</v>
      </c>
      <c r="AD60" s="171">
        <f t="shared" si="35"/>
        <v>0</v>
      </c>
      <c r="AE60" s="171">
        <f t="shared" si="35"/>
        <v>42924.119999999995</v>
      </c>
      <c r="AF60" s="172">
        <f>SUM(S60:AE60)</f>
        <v>932253.73</v>
      </c>
      <c r="AG60" s="121"/>
      <c r="AH60" s="207">
        <f>(S60+T60)/AF60</f>
        <v>0.90847191354224988</v>
      </c>
      <c r="AI60" s="207">
        <f>U60/AF60</f>
        <v>2.4429293514331126E-3</v>
      </c>
      <c r="AJ60" s="207">
        <f>V60/AF60</f>
        <v>1.5397406884067925E-2</v>
      </c>
      <c r="AK60" s="207">
        <f>W60/AF60</f>
        <v>5.7594835260138901E-4</v>
      </c>
      <c r="AL60" s="207">
        <f>X60/AF60</f>
        <v>7.7232192999646138E-3</v>
      </c>
      <c r="AM60" s="207">
        <f>Y60/AF60</f>
        <v>3.202411429343383E-3</v>
      </c>
      <c r="AN60" s="207">
        <f>Z60/AF60</f>
        <v>0</v>
      </c>
      <c r="AO60" s="207">
        <f>AA60/AF60</f>
        <v>1.2801203809610931E-2</v>
      </c>
      <c r="AP60" s="207">
        <f>AB60/AF60</f>
        <v>4.6124781930344223E-4</v>
      </c>
      <c r="AQ60" s="207">
        <f>AC60/AF60</f>
        <v>2.8803317311479138E-3</v>
      </c>
      <c r="AR60" s="207">
        <f>AD60/AF60</f>
        <v>0</v>
      </c>
      <c r="AS60" s="207">
        <f>AE60/AF60</f>
        <v>4.6043387780277369E-2</v>
      </c>
      <c r="AT60" s="220"/>
      <c r="AU60" s="124">
        <f>I60-AF60</f>
        <v>303408.1634479838</v>
      </c>
    </row>
    <row r="61" spans="1:47" x14ac:dyDescent="0.2">
      <c r="A61" s="90"/>
      <c r="B61" s="72"/>
      <c r="C61" s="10"/>
      <c r="D61" s="10"/>
      <c r="E61" s="10"/>
      <c r="F61" s="10"/>
      <c r="G61" s="10"/>
      <c r="H61" s="10"/>
      <c r="I61" s="10"/>
      <c r="J61" s="69"/>
      <c r="K61" s="121"/>
      <c r="L61" s="218"/>
      <c r="M61" s="218"/>
      <c r="N61" s="218"/>
      <c r="O61" s="218"/>
      <c r="P61" s="218"/>
      <c r="Q61" s="218"/>
      <c r="R61" s="220"/>
      <c r="S61" s="112"/>
      <c r="T61" s="112"/>
      <c r="U61" s="104"/>
      <c r="V61" s="104"/>
      <c r="W61" s="104"/>
      <c r="X61" s="104"/>
      <c r="Y61" s="104"/>
      <c r="Z61" s="104"/>
      <c r="AA61" s="104"/>
      <c r="AB61" s="104"/>
      <c r="AC61" s="104"/>
      <c r="AD61" s="104"/>
      <c r="AE61" s="104"/>
      <c r="AF61" s="111"/>
      <c r="AG61" s="121"/>
      <c r="AH61" s="116"/>
      <c r="AI61" s="116"/>
      <c r="AJ61" s="116"/>
      <c r="AK61" s="116"/>
      <c r="AL61" s="116"/>
      <c r="AM61" s="116"/>
      <c r="AN61" s="116"/>
      <c r="AO61" s="116"/>
      <c r="AP61" s="116"/>
      <c r="AQ61" s="116"/>
      <c r="AR61" s="116"/>
      <c r="AS61" s="116"/>
      <c r="AT61" s="220"/>
      <c r="AU61" s="105"/>
    </row>
    <row r="62" spans="1:47" hidden="1" outlineLevel="1" x14ac:dyDescent="0.2">
      <c r="A62" s="88">
        <v>13</v>
      </c>
      <c r="B62" s="32" t="s">
        <v>128</v>
      </c>
      <c r="C62" s="189">
        <v>916630</v>
      </c>
      <c r="D62" s="189">
        <v>1857220.9693084697</v>
      </c>
      <c r="E62" s="189">
        <v>0</v>
      </c>
      <c r="F62" s="189">
        <v>40000</v>
      </c>
      <c r="G62" s="189">
        <v>0</v>
      </c>
      <c r="H62" s="189">
        <v>0</v>
      </c>
      <c r="I62" s="189">
        <f>SUM(C62:H62)</f>
        <v>2813850.9693084694</v>
      </c>
      <c r="J62" s="194"/>
      <c r="K62" s="121"/>
      <c r="L62" s="207"/>
      <c r="M62" s="207"/>
      <c r="N62" s="207"/>
      <c r="O62" s="207"/>
      <c r="P62" s="207"/>
      <c r="Q62" s="207"/>
      <c r="R62" s="220"/>
      <c r="S62" s="166">
        <v>1654873</v>
      </c>
      <c r="T62" s="166">
        <v>521563</v>
      </c>
      <c r="U62" s="166">
        <v>2555</v>
      </c>
      <c r="V62" s="166">
        <v>17946</v>
      </c>
      <c r="W62" s="166">
        <v>1499</v>
      </c>
      <c r="X62" s="166">
        <v>0</v>
      </c>
      <c r="Y62" s="166">
        <v>0</v>
      </c>
      <c r="Z62" s="166">
        <v>4703</v>
      </c>
      <c r="AA62" s="166">
        <v>7285</v>
      </c>
      <c r="AB62" s="166">
        <v>61254</v>
      </c>
      <c r="AC62" s="166">
        <v>34497</v>
      </c>
      <c r="AD62" s="166">
        <v>0</v>
      </c>
      <c r="AE62" s="166">
        <v>70946</v>
      </c>
      <c r="AF62" s="167">
        <f t="shared" ref="AF62:AF63" si="36">SUM(S62:AE62)</f>
        <v>2377121</v>
      </c>
      <c r="AG62" s="121"/>
      <c r="AH62" s="207"/>
      <c r="AI62" s="207"/>
      <c r="AJ62" s="207"/>
      <c r="AK62" s="207"/>
      <c r="AL62" s="207"/>
      <c r="AM62" s="207"/>
      <c r="AN62" s="207"/>
      <c r="AO62" s="207"/>
      <c r="AP62" s="207"/>
      <c r="AQ62" s="207"/>
      <c r="AR62" s="207"/>
      <c r="AS62" s="207"/>
      <c r="AT62" s="220"/>
      <c r="AU62" s="98">
        <f>I62-AF62</f>
        <v>436729.96930846944</v>
      </c>
    </row>
    <row r="63" spans="1:47" ht="13.5" hidden="1" outlineLevel="1" thickBot="1" x14ac:dyDescent="0.25">
      <c r="A63" s="88">
        <v>13</v>
      </c>
      <c r="B63" s="32" t="s">
        <v>130</v>
      </c>
      <c r="C63" s="190">
        <v>0</v>
      </c>
      <c r="D63" s="190">
        <v>490720.40078637697</v>
      </c>
      <c r="E63" s="190">
        <v>0</v>
      </c>
      <c r="F63" s="190">
        <v>0</v>
      </c>
      <c r="G63" s="190">
        <v>0</v>
      </c>
      <c r="H63" s="190">
        <v>0</v>
      </c>
      <c r="I63" s="190">
        <f>SUM(C63:H63)</f>
        <v>490720.40078637697</v>
      </c>
      <c r="J63" s="194"/>
      <c r="K63" s="121"/>
      <c r="L63" s="207"/>
      <c r="M63" s="207"/>
      <c r="N63" s="207"/>
      <c r="O63" s="207"/>
      <c r="P63" s="207"/>
      <c r="Q63" s="207"/>
      <c r="R63" s="220"/>
      <c r="S63" s="168">
        <v>0</v>
      </c>
      <c r="T63" s="168">
        <v>0</v>
      </c>
      <c r="U63" s="168">
        <v>0</v>
      </c>
      <c r="V63" s="168">
        <v>0</v>
      </c>
      <c r="W63" s="168">
        <v>0</v>
      </c>
      <c r="X63" s="168">
        <v>0</v>
      </c>
      <c r="Y63" s="168">
        <v>0</v>
      </c>
      <c r="Z63" s="168">
        <v>0</v>
      </c>
      <c r="AA63" s="168">
        <v>0</v>
      </c>
      <c r="AB63" s="168">
        <v>0</v>
      </c>
      <c r="AC63" s="168">
        <v>0</v>
      </c>
      <c r="AD63" s="168">
        <v>0</v>
      </c>
      <c r="AE63" s="168">
        <v>0</v>
      </c>
      <c r="AF63" s="169">
        <f t="shared" si="36"/>
        <v>0</v>
      </c>
      <c r="AG63" s="121"/>
      <c r="AH63" s="207"/>
      <c r="AI63" s="207"/>
      <c r="AJ63" s="207"/>
      <c r="AK63" s="207"/>
      <c r="AL63" s="207"/>
      <c r="AM63" s="207"/>
      <c r="AN63" s="207"/>
      <c r="AO63" s="207"/>
      <c r="AP63" s="207"/>
      <c r="AQ63" s="207"/>
      <c r="AR63" s="207"/>
      <c r="AS63" s="207"/>
      <c r="AT63" s="220"/>
      <c r="AU63" s="98">
        <f>I63-AF63</f>
        <v>490720.40078637697</v>
      </c>
    </row>
    <row r="64" spans="1:47" collapsed="1" x14ac:dyDescent="0.2">
      <c r="A64" s="40">
        <v>13</v>
      </c>
      <c r="B64" s="45" t="s">
        <v>4</v>
      </c>
      <c r="C64" s="191">
        <f t="shared" ref="C64:H64" si="37">SUM(C62:C63)</f>
        <v>916630</v>
      </c>
      <c r="D64" s="191">
        <f t="shared" si="37"/>
        <v>2347941.3700948465</v>
      </c>
      <c r="E64" s="191">
        <f t="shared" si="37"/>
        <v>0</v>
      </c>
      <c r="F64" s="191">
        <f t="shared" si="37"/>
        <v>40000</v>
      </c>
      <c r="G64" s="191">
        <f t="shared" si="37"/>
        <v>0</v>
      </c>
      <c r="H64" s="191">
        <f t="shared" si="37"/>
        <v>0</v>
      </c>
      <c r="I64" s="191">
        <f>SUM(C64:H64)</f>
        <v>3304571.3700948465</v>
      </c>
      <c r="J64" s="196"/>
      <c r="K64" s="121"/>
      <c r="L64" s="207">
        <f>C64/I64</f>
        <v>0.27738241888045262</v>
      </c>
      <c r="M64" s="207">
        <f>D64/I64</f>
        <v>0.71051313684517481</v>
      </c>
      <c r="N64" s="207">
        <f>E64/I64</f>
        <v>0</v>
      </c>
      <c r="O64" s="207">
        <f>F64/I64</f>
        <v>1.2104444274372544E-2</v>
      </c>
      <c r="P64" s="207">
        <f>G64/I64</f>
        <v>0</v>
      </c>
      <c r="Q64" s="207">
        <f>H64/I64</f>
        <v>0</v>
      </c>
      <c r="R64" s="220"/>
      <c r="S64" s="171">
        <f>SUM(S62:S63)</f>
        <v>1654873</v>
      </c>
      <c r="T64" s="171">
        <f t="shared" ref="T64:AE64" si="38">SUM(T62:T63)</f>
        <v>521563</v>
      </c>
      <c r="U64" s="171">
        <f t="shared" si="38"/>
        <v>2555</v>
      </c>
      <c r="V64" s="171">
        <f t="shared" si="38"/>
        <v>17946</v>
      </c>
      <c r="W64" s="171">
        <f t="shared" si="38"/>
        <v>1499</v>
      </c>
      <c r="X64" s="171">
        <f t="shared" si="38"/>
        <v>0</v>
      </c>
      <c r="Y64" s="171">
        <f t="shared" si="38"/>
        <v>0</v>
      </c>
      <c r="Z64" s="171">
        <f t="shared" si="38"/>
        <v>4703</v>
      </c>
      <c r="AA64" s="171">
        <f t="shared" si="38"/>
        <v>7285</v>
      </c>
      <c r="AB64" s="171">
        <f t="shared" si="38"/>
        <v>61254</v>
      </c>
      <c r="AC64" s="171">
        <f t="shared" si="38"/>
        <v>34497</v>
      </c>
      <c r="AD64" s="171">
        <f t="shared" si="38"/>
        <v>0</v>
      </c>
      <c r="AE64" s="171">
        <f t="shared" si="38"/>
        <v>70946</v>
      </c>
      <c r="AF64" s="172">
        <f>SUM(S64:AE64)</f>
        <v>2377121</v>
      </c>
      <c r="AG64" s="121"/>
      <c r="AH64" s="207">
        <f>(S64+T64)/AF64</f>
        <v>0.91557644730747823</v>
      </c>
      <c r="AI64" s="207">
        <f>U64/AF64</f>
        <v>1.0748295942865341E-3</v>
      </c>
      <c r="AJ64" s="207">
        <f>V64/AF64</f>
        <v>7.5494684536462388E-3</v>
      </c>
      <c r="AK64" s="207">
        <f>W64/AF64</f>
        <v>6.3059474044442837E-4</v>
      </c>
      <c r="AL64" s="207">
        <f>X64/AF64</f>
        <v>0</v>
      </c>
      <c r="AM64" s="207">
        <f>Y64/AF64</f>
        <v>0</v>
      </c>
      <c r="AN64" s="207">
        <f>Z64/AF64</f>
        <v>1.9784436719880896E-3</v>
      </c>
      <c r="AO64" s="207">
        <f>AA64/AF64</f>
        <v>3.0646315437876321E-3</v>
      </c>
      <c r="AP64" s="207">
        <f>AB64/AF64</f>
        <v>2.5768145584511685E-2</v>
      </c>
      <c r="AQ64" s="207">
        <f>AC64/AF64</f>
        <v>1.4512092569120377E-2</v>
      </c>
      <c r="AR64" s="207">
        <f>AD64/AF64</f>
        <v>0</v>
      </c>
      <c r="AS64" s="207">
        <f>AE64/AF64</f>
        <v>2.9845346534736767E-2</v>
      </c>
      <c r="AT64" s="220"/>
      <c r="AU64" s="124">
        <f>I64-AF64</f>
        <v>927450.37009484647</v>
      </c>
    </row>
    <row r="65" spans="1:47" x14ac:dyDescent="0.2">
      <c r="A65" s="90"/>
      <c r="B65" s="72"/>
      <c r="C65" s="10"/>
      <c r="D65" s="10"/>
      <c r="E65" s="10"/>
      <c r="F65" s="10"/>
      <c r="G65" s="10"/>
      <c r="H65" s="10"/>
      <c r="I65" s="10"/>
      <c r="J65" s="69"/>
      <c r="K65" s="121"/>
      <c r="L65" s="218"/>
      <c r="M65" s="218"/>
      <c r="N65" s="218"/>
      <c r="O65" s="218"/>
      <c r="P65" s="218"/>
      <c r="Q65" s="218"/>
      <c r="R65" s="220"/>
      <c r="S65" s="110"/>
      <c r="T65" s="110"/>
      <c r="U65" s="104"/>
      <c r="V65" s="104"/>
      <c r="W65" s="104"/>
      <c r="X65" s="104"/>
      <c r="Y65" s="104"/>
      <c r="Z65" s="104"/>
      <c r="AA65" s="104"/>
      <c r="AB65" s="104"/>
      <c r="AC65" s="104"/>
      <c r="AD65" s="104"/>
      <c r="AE65" s="104"/>
      <c r="AF65" s="111"/>
      <c r="AG65" s="121"/>
      <c r="AH65" s="116"/>
      <c r="AI65" s="116"/>
      <c r="AJ65" s="116"/>
      <c r="AK65" s="116"/>
      <c r="AL65" s="116"/>
      <c r="AM65" s="116"/>
      <c r="AN65" s="116"/>
      <c r="AO65" s="116"/>
      <c r="AP65" s="116"/>
      <c r="AQ65" s="116"/>
      <c r="AR65" s="116"/>
      <c r="AS65" s="116"/>
      <c r="AT65" s="220"/>
      <c r="AU65" s="105"/>
    </row>
    <row r="66" spans="1:47" hidden="1" outlineLevel="1" x14ac:dyDescent="0.2">
      <c r="A66" s="88">
        <v>14</v>
      </c>
      <c r="B66" s="32" t="s">
        <v>131</v>
      </c>
      <c r="C66" s="189">
        <v>20000</v>
      </c>
      <c r="D66" s="189">
        <v>42884.116082275897</v>
      </c>
      <c r="E66" s="189">
        <v>0</v>
      </c>
      <c r="F66" s="189">
        <v>0</v>
      </c>
      <c r="G66" s="189">
        <v>0</v>
      </c>
      <c r="H66" s="189">
        <v>0</v>
      </c>
      <c r="I66" s="189">
        <f t="shared" ref="I66:I71" si="39">SUM(C66:H66)</f>
        <v>62884.116082275897</v>
      </c>
      <c r="J66" s="194"/>
      <c r="K66" s="121"/>
      <c r="L66" s="207"/>
      <c r="M66" s="207"/>
      <c r="N66" s="207"/>
      <c r="O66" s="207"/>
      <c r="P66" s="207"/>
      <c r="Q66" s="207"/>
      <c r="R66" s="220"/>
      <c r="S66" s="166">
        <v>0</v>
      </c>
      <c r="T66" s="166">
        <v>0</v>
      </c>
      <c r="U66" s="166">
        <v>0</v>
      </c>
      <c r="V66" s="166">
        <v>0</v>
      </c>
      <c r="W66" s="166">
        <v>0</v>
      </c>
      <c r="X66" s="166">
        <v>0</v>
      </c>
      <c r="Y66" s="166">
        <v>0</v>
      </c>
      <c r="Z66" s="166">
        <v>0</v>
      </c>
      <c r="AA66" s="166">
        <v>0</v>
      </c>
      <c r="AB66" s="166">
        <v>0</v>
      </c>
      <c r="AC66" s="166">
        <v>0</v>
      </c>
      <c r="AD66" s="166">
        <v>0</v>
      </c>
      <c r="AE66" s="166">
        <v>0</v>
      </c>
      <c r="AF66" s="167">
        <f t="shared" ref="AF66:AF70" si="40">SUM(S66:AE66)</f>
        <v>0</v>
      </c>
      <c r="AG66" s="121"/>
      <c r="AH66" s="207"/>
      <c r="AI66" s="207"/>
      <c r="AJ66" s="207"/>
      <c r="AK66" s="207"/>
      <c r="AL66" s="207"/>
      <c r="AM66" s="207"/>
      <c r="AN66" s="207"/>
      <c r="AO66" s="207"/>
      <c r="AP66" s="207"/>
      <c r="AQ66" s="207"/>
      <c r="AR66" s="207"/>
      <c r="AS66" s="207"/>
      <c r="AT66" s="220"/>
      <c r="AU66" s="98">
        <f t="shared" ref="AU66:AU71" si="41">I66-AF66</f>
        <v>62884.116082275897</v>
      </c>
    </row>
    <row r="67" spans="1:47" hidden="1" outlineLevel="1" x14ac:dyDescent="0.2">
      <c r="A67" s="88">
        <v>14</v>
      </c>
      <c r="B67" s="32" t="s">
        <v>132</v>
      </c>
      <c r="C67" s="189">
        <v>699293</v>
      </c>
      <c r="D67" s="189">
        <v>667743.43069160823</v>
      </c>
      <c r="E67" s="189">
        <v>0</v>
      </c>
      <c r="F67" s="189">
        <v>0</v>
      </c>
      <c r="G67" s="189">
        <v>0</v>
      </c>
      <c r="H67" s="189">
        <v>0</v>
      </c>
      <c r="I67" s="189">
        <f t="shared" si="39"/>
        <v>1367036.4306916082</v>
      </c>
      <c r="J67" s="194"/>
      <c r="K67" s="121"/>
      <c r="L67" s="207"/>
      <c r="M67" s="207"/>
      <c r="N67" s="207"/>
      <c r="O67" s="207"/>
      <c r="P67" s="207"/>
      <c r="Q67" s="207"/>
      <c r="R67" s="220"/>
      <c r="S67" s="166">
        <v>1571825</v>
      </c>
      <c r="T67" s="166">
        <v>515521</v>
      </c>
      <c r="U67" s="166">
        <v>49821</v>
      </c>
      <c r="V67" s="166">
        <v>8558.41</v>
      </c>
      <c r="W67" s="166">
        <v>2200</v>
      </c>
      <c r="X67" s="166">
        <v>0</v>
      </c>
      <c r="Y67" s="166">
        <v>0</v>
      </c>
      <c r="Z67" s="166">
        <v>14600</v>
      </c>
      <c r="AA67" s="166">
        <v>0</v>
      </c>
      <c r="AB67" s="166">
        <v>24819.21</v>
      </c>
      <c r="AC67" s="166">
        <v>24117.48</v>
      </c>
      <c r="AD67" s="166">
        <v>8000</v>
      </c>
      <c r="AE67" s="166">
        <v>21780.3</v>
      </c>
      <c r="AF67" s="167">
        <f t="shared" si="40"/>
        <v>2241242.4</v>
      </c>
      <c r="AG67" s="121"/>
      <c r="AH67" s="207"/>
      <c r="AI67" s="207"/>
      <c r="AJ67" s="207"/>
      <c r="AK67" s="207"/>
      <c r="AL67" s="207"/>
      <c r="AM67" s="207"/>
      <c r="AN67" s="207"/>
      <c r="AO67" s="207"/>
      <c r="AP67" s="207"/>
      <c r="AQ67" s="207"/>
      <c r="AR67" s="207"/>
      <c r="AS67" s="207"/>
      <c r="AT67" s="220"/>
      <c r="AU67" s="98">
        <f t="shared" si="41"/>
        <v>-874205.96930839168</v>
      </c>
    </row>
    <row r="68" spans="1:47" hidden="1" outlineLevel="1" x14ac:dyDescent="0.2">
      <c r="A68" s="88">
        <v>14</v>
      </c>
      <c r="B68" s="32" t="s">
        <v>133</v>
      </c>
      <c r="C68" s="189">
        <v>235000</v>
      </c>
      <c r="D68" s="189">
        <v>160077.65070274251</v>
      </c>
      <c r="E68" s="189">
        <v>0</v>
      </c>
      <c r="F68" s="189">
        <v>0</v>
      </c>
      <c r="G68" s="189">
        <v>0</v>
      </c>
      <c r="H68" s="189">
        <v>0</v>
      </c>
      <c r="I68" s="189">
        <f t="shared" si="39"/>
        <v>395077.65070274251</v>
      </c>
      <c r="J68" s="194"/>
      <c r="K68" s="121"/>
      <c r="L68" s="207"/>
      <c r="M68" s="207"/>
      <c r="N68" s="207"/>
      <c r="O68" s="207"/>
      <c r="P68" s="207"/>
      <c r="Q68" s="207"/>
      <c r="R68" s="220"/>
      <c r="S68" s="166">
        <v>0</v>
      </c>
      <c r="T68" s="166">
        <v>0</v>
      </c>
      <c r="U68" s="166">
        <v>0</v>
      </c>
      <c r="V68" s="166">
        <v>0</v>
      </c>
      <c r="W68" s="166">
        <v>0</v>
      </c>
      <c r="X68" s="166">
        <v>0</v>
      </c>
      <c r="Y68" s="166">
        <v>0</v>
      </c>
      <c r="Z68" s="166">
        <v>0</v>
      </c>
      <c r="AA68" s="166">
        <v>0</v>
      </c>
      <c r="AB68" s="166">
        <v>0</v>
      </c>
      <c r="AC68" s="166">
        <v>0</v>
      </c>
      <c r="AD68" s="166">
        <v>0</v>
      </c>
      <c r="AE68" s="166">
        <v>0</v>
      </c>
      <c r="AF68" s="167">
        <f t="shared" si="40"/>
        <v>0</v>
      </c>
      <c r="AG68" s="121"/>
      <c r="AH68" s="207"/>
      <c r="AI68" s="207"/>
      <c r="AJ68" s="207"/>
      <c r="AK68" s="207"/>
      <c r="AL68" s="207"/>
      <c r="AM68" s="207"/>
      <c r="AN68" s="207"/>
      <c r="AO68" s="207"/>
      <c r="AP68" s="207"/>
      <c r="AQ68" s="207"/>
      <c r="AR68" s="207"/>
      <c r="AS68" s="207"/>
      <c r="AT68" s="220"/>
      <c r="AU68" s="98">
        <f t="shared" si="41"/>
        <v>395077.65070274251</v>
      </c>
    </row>
    <row r="69" spans="1:47" hidden="1" outlineLevel="1" x14ac:dyDescent="0.2">
      <c r="A69" s="88">
        <v>14</v>
      </c>
      <c r="B69" s="32" t="s">
        <v>134</v>
      </c>
      <c r="C69" s="189">
        <v>47500</v>
      </c>
      <c r="D69" s="189">
        <v>86805.452363489661</v>
      </c>
      <c r="E69" s="189">
        <v>0</v>
      </c>
      <c r="F69" s="189">
        <v>0</v>
      </c>
      <c r="G69" s="189">
        <v>0</v>
      </c>
      <c r="H69" s="189">
        <v>0</v>
      </c>
      <c r="I69" s="189">
        <f t="shared" si="39"/>
        <v>134305.45236348966</v>
      </c>
      <c r="J69" s="194"/>
      <c r="K69" s="121"/>
      <c r="L69" s="207"/>
      <c r="M69" s="207"/>
      <c r="N69" s="207"/>
      <c r="O69" s="207"/>
      <c r="P69" s="207"/>
      <c r="Q69" s="207"/>
      <c r="R69" s="220"/>
      <c r="S69" s="166">
        <v>0</v>
      </c>
      <c r="T69" s="166">
        <v>0</v>
      </c>
      <c r="U69" s="166">
        <v>0</v>
      </c>
      <c r="V69" s="166">
        <v>0</v>
      </c>
      <c r="W69" s="166">
        <v>0</v>
      </c>
      <c r="X69" s="166">
        <v>0</v>
      </c>
      <c r="Y69" s="166">
        <v>0</v>
      </c>
      <c r="Z69" s="166">
        <v>0</v>
      </c>
      <c r="AA69" s="166">
        <v>0</v>
      </c>
      <c r="AB69" s="166">
        <v>0</v>
      </c>
      <c r="AC69" s="166">
        <v>0</v>
      </c>
      <c r="AD69" s="166">
        <v>0</v>
      </c>
      <c r="AE69" s="166">
        <v>0</v>
      </c>
      <c r="AF69" s="167">
        <f t="shared" si="40"/>
        <v>0</v>
      </c>
      <c r="AG69" s="121"/>
      <c r="AH69" s="207"/>
      <c r="AI69" s="207"/>
      <c r="AJ69" s="207"/>
      <c r="AK69" s="207"/>
      <c r="AL69" s="207"/>
      <c r="AM69" s="207"/>
      <c r="AN69" s="207"/>
      <c r="AO69" s="207"/>
      <c r="AP69" s="207"/>
      <c r="AQ69" s="207"/>
      <c r="AR69" s="207"/>
      <c r="AS69" s="207"/>
      <c r="AT69" s="220"/>
      <c r="AU69" s="98">
        <f t="shared" si="41"/>
        <v>134305.45236348966</v>
      </c>
    </row>
    <row r="70" spans="1:47" ht="13.5" hidden="1" outlineLevel="1" thickBot="1" x14ac:dyDescent="0.25">
      <c r="A70" s="88">
        <v>14</v>
      </c>
      <c r="B70" s="32" t="s">
        <v>135</v>
      </c>
      <c r="C70" s="190">
        <v>119000</v>
      </c>
      <c r="D70" s="190">
        <v>101980.97170271139</v>
      </c>
      <c r="E70" s="190">
        <v>0</v>
      </c>
      <c r="F70" s="190">
        <v>0</v>
      </c>
      <c r="G70" s="190">
        <v>0</v>
      </c>
      <c r="H70" s="190">
        <v>0</v>
      </c>
      <c r="I70" s="190">
        <f t="shared" si="39"/>
        <v>220980.97170271139</v>
      </c>
      <c r="J70" s="194"/>
      <c r="K70" s="121"/>
      <c r="L70" s="207"/>
      <c r="M70" s="207"/>
      <c r="N70" s="207"/>
      <c r="O70" s="207"/>
      <c r="P70" s="207"/>
      <c r="Q70" s="207"/>
      <c r="R70" s="220"/>
      <c r="S70" s="168">
        <v>0</v>
      </c>
      <c r="T70" s="168">
        <v>0</v>
      </c>
      <c r="U70" s="168">
        <v>0</v>
      </c>
      <c r="V70" s="168">
        <v>0</v>
      </c>
      <c r="W70" s="168">
        <v>0</v>
      </c>
      <c r="X70" s="168">
        <v>0</v>
      </c>
      <c r="Y70" s="168">
        <v>0</v>
      </c>
      <c r="Z70" s="168">
        <v>0</v>
      </c>
      <c r="AA70" s="168">
        <v>0</v>
      </c>
      <c r="AB70" s="168">
        <v>0</v>
      </c>
      <c r="AC70" s="168">
        <v>0</v>
      </c>
      <c r="AD70" s="168">
        <v>0</v>
      </c>
      <c r="AE70" s="168">
        <v>0</v>
      </c>
      <c r="AF70" s="169">
        <f t="shared" si="40"/>
        <v>0</v>
      </c>
      <c r="AG70" s="121"/>
      <c r="AH70" s="207"/>
      <c r="AI70" s="207"/>
      <c r="AJ70" s="207"/>
      <c r="AK70" s="207"/>
      <c r="AL70" s="207"/>
      <c r="AM70" s="207"/>
      <c r="AN70" s="207"/>
      <c r="AO70" s="207"/>
      <c r="AP70" s="207"/>
      <c r="AQ70" s="207"/>
      <c r="AR70" s="207"/>
      <c r="AS70" s="207"/>
      <c r="AT70" s="220"/>
      <c r="AU70" s="98">
        <f t="shared" si="41"/>
        <v>220980.97170271139</v>
      </c>
    </row>
    <row r="71" spans="1:47" collapsed="1" x14ac:dyDescent="0.2">
      <c r="A71" s="40">
        <v>14</v>
      </c>
      <c r="B71" s="45" t="s">
        <v>4</v>
      </c>
      <c r="C71" s="191">
        <f t="shared" ref="C71:H71" si="42">SUM(C66:C70)</f>
        <v>1120793</v>
      </c>
      <c r="D71" s="191">
        <f t="shared" si="42"/>
        <v>1059491.6215428277</v>
      </c>
      <c r="E71" s="191">
        <f t="shared" si="42"/>
        <v>0</v>
      </c>
      <c r="F71" s="191">
        <f t="shared" si="42"/>
        <v>0</v>
      </c>
      <c r="G71" s="191">
        <f t="shared" si="42"/>
        <v>0</v>
      </c>
      <c r="H71" s="191">
        <f t="shared" si="42"/>
        <v>0</v>
      </c>
      <c r="I71" s="191">
        <f t="shared" si="39"/>
        <v>2180284.6215428277</v>
      </c>
      <c r="J71" s="196"/>
      <c r="K71" s="121"/>
      <c r="L71" s="207">
        <f>C71/I71</f>
        <v>0.51405811375530275</v>
      </c>
      <c r="M71" s="207">
        <f>D71/I71</f>
        <v>0.48594188624469731</v>
      </c>
      <c r="N71" s="207">
        <f>E71/I71</f>
        <v>0</v>
      </c>
      <c r="O71" s="207">
        <f>F71/I71</f>
        <v>0</v>
      </c>
      <c r="P71" s="207">
        <f>G71/I71</f>
        <v>0</v>
      </c>
      <c r="Q71" s="207">
        <f>H71/I71</f>
        <v>0</v>
      </c>
      <c r="R71" s="220"/>
      <c r="S71" s="171">
        <f>SUM(S66:S70)</f>
        <v>1571825</v>
      </c>
      <c r="T71" s="171">
        <f t="shared" ref="T71:AE71" si="43">SUM(T66:T70)</f>
        <v>515521</v>
      </c>
      <c r="U71" s="171">
        <f t="shared" si="43"/>
        <v>49821</v>
      </c>
      <c r="V71" s="171">
        <f t="shared" si="43"/>
        <v>8558.41</v>
      </c>
      <c r="W71" s="171">
        <f t="shared" si="43"/>
        <v>2200</v>
      </c>
      <c r="X71" s="171">
        <f t="shared" si="43"/>
        <v>0</v>
      </c>
      <c r="Y71" s="171">
        <f t="shared" si="43"/>
        <v>0</v>
      </c>
      <c r="Z71" s="171">
        <f t="shared" si="43"/>
        <v>14600</v>
      </c>
      <c r="AA71" s="171">
        <f t="shared" si="43"/>
        <v>0</v>
      </c>
      <c r="AB71" s="171">
        <f t="shared" si="43"/>
        <v>24819.21</v>
      </c>
      <c r="AC71" s="171">
        <f t="shared" si="43"/>
        <v>24117.48</v>
      </c>
      <c r="AD71" s="171">
        <f t="shared" si="43"/>
        <v>8000</v>
      </c>
      <c r="AE71" s="171">
        <f t="shared" si="43"/>
        <v>21780.3</v>
      </c>
      <c r="AF71" s="172">
        <f>SUM(S71:AE71)</f>
        <v>2241242.4</v>
      </c>
      <c r="AG71" s="121"/>
      <c r="AH71" s="207">
        <f>(S71+T71)/AF71</f>
        <v>0.93133433492066731</v>
      </c>
      <c r="AI71" s="207">
        <f>U71/AF71</f>
        <v>2.2229188596467747E-2</v>
      </c>
      <c r="AJ71" s="207">
        <f>V71/AF71</f>
        <v>3.8186007903473537E-3</v>
      </c>
      <c r="AK71" s="207">
        <f>W71/AF71</f>
        <v>9.8159842059029412E-4</v>
      </c>
      <c r="AL71" s="207">
        <f>X71/AF71</f>
        <v>0</v>
      </c>
      <c r="AM71" s="207">
        <f>Y71/AF71</f>
        <v>0</v>
      </c>
      <c r="AN71" s="207">
        <f>Z71/AF71</f>
        <v>6.5142440639174059E-3</v>
      </c>
      <c r="AO71" s="207">
        <f>AA71/AF71</f>
        <v>0</v>
      </c>
      <c r="AP71" s="207">
        <f>AB71/AF71</f>
        <v>1.1073862425590377E-2</v>
      </c>
      <c r="AQ71" s="207">
        <f>AC71/AF71</f>
        <v>1.0760763762099093E-2</v>
      </c>
      <c r="AR71" s="207">
        <f>AD71/AF71</f>
        <v>3.5694488021465239E-3</v>
      </c>
      <c r="AS71" s="207">
        <f>AE71/AF71</f>
        <v>9.7179582181739915E-3</v>
      </c>
      <c r="AT71" s="220"/>
      <c r="AU71" s="124">
        <f t="shared" si="41"/>
        <v>-60957.778457172215</v>
      </c>
    </row>
    <row r="72" spans="1:47" x14ac:dyDescent="0.2">
      <c r="A72" s="90"/>
      <c r="B72" s="72"/>
      <c r="C72" s="10"/>
      <c r="D72" s="10"/>
      <c r="E72" s="10"/>
      <c r="F72" s="10"/>
      <c r="G72" s="10"/>
      <c r="H72" s="10"/>
      <c r="I72" s="10"/>
      <c r="J72" s="69"/>
      <c r="K72" s="121"/>
      <c r="L72" s="218"/>
      <c r="M72" s="218"/>
      <c r="N72" s="218"/>
      <c r="O72" s="218"/>
      <c r="P72" s="218"/>
      <c r="Q72" s="218"/>
      <c r="R72" s="220"/>
      <c r="S72" s="110"/>
      <c r="T72" s="110"/>
      <c r="U72" s="104"/>
      <c r="V72" s="104"/>
      <c r="W72" s="104"/>
      <c r="X72" s="104"/>
      <c r="Y72" s="104"/>
      <c r="Z72" s="104"/>
      <c r="AA72" s="104"/>
      <c r="AB72" s="104"/>
      <c r="AC72" s="104"/>
      <c r="AD72" s="104"/>
      <c r="AE72" s="104"/>
      <c r="AF72" s="111"/>
      <c r="AG72" s="121"/>
      <c r="AH72" s="116"/>
      <c r="AI72" s="116"/>
      <c r="AJ72" s="116"/>
      <c r="AK72" s="116"/>
      <c r="AL72" s="116"/>
      <c r="AM72" s="116"/>
      <c r="AN72" s="116"/>
      <c r="AO72" s="116"/>
      <c r="AP72" s="116"/>
      <c r="AQ72" s="116"/>
      <c r="AR72" s="116"/>
      <c r="AS72" s="116"/>
      <c r="AT72" s="220"/>
      <c r="AU72" s="105"/>
    </row>
    <row r="73" spans="1:47" hidden="1" outlineLevel="1" x14ac:dyDescent="0.2">
      <c r="A73" s="88">
        <v>15</v>
      </c>
      <c r="B73" s="32" t="s">
        <v>136</v>
      </c>
      <c r="C73" s="189">
        <v>126100</v>
      </c>
      <c r="D73" s="189">
        <v>247607.51082422055</v>
      </c>
      <c r="E73" s="189">
        <v>0</v>
      </c>
      <c r="F73" s="189">
        <v>0</v>
      </c>
      <c r="G73" s="189">
        <v>0</v>
      </c>
      <c r="H73" s="189">
        <v>0</v>
      </c>
      <c r="I73" s="189">
        <f>SUM(C73:H73)</f>
        <v>373707.51082422055</v>
      </c>
      <c r="J73" s="194"/>
      <c r="K73" s="121"/>
      <c r="L73" s="207"/>
      <c r="M73" s="207"/>
      <c r="N73" s="207"/>
      <c r="O73" s="207"/>
      <c r="P73" s="207"/>
      <c r="Q73" s="207"/>
      <c r="R73" s="220"/>
      <c r="S73" s="166">
        <v>182877.99</v>
      </c>
      <c r="T73" s="166">
        <v>57820.49</v>
      </c>
      <c r="U73" s="166">
        <v>591.62</v>
      </c>
      <c r="V73" s="166">
        <v>0</v>
      </c>
      <c r="W73" s="166">
        <v>1135.9100000000001</v>
      </c>
      <c r="X73" s="166">
        <v>1704.31</v>
      </c>
      <c r="Y73" s="166">
        <v>0</v>
      </c>
      <c r="Z73" s="166">
        <v>0</v>
      </c>
      <c r="AA73" s="166">
        <v>3617.55</v>
      </c>
      <c r="AB73" s="166">
        <v>148.25</v>
      </c>
      <c r="AC73" s="166">
        <v>0</v>
      </c>
      <c r="AD73" s="166">
        <v>0</v>
      </c>
      <c r="AE73" s="166">
        <v>34619.61</v>
      </c>
      <c r="AF73" s="167">
        <f t="shared" ref="AF73:AF74" si="44">SUM(S73:AE73)</f>
        <v>282515.73</v>
      </c>
      <c r="AG73" s="121"/>
      <c r="AH73" s="207"/>
      <c r="AI73" s="207"/>
      <c r="AJ73" s="207"/>
      <c r="AK73" s="207"/>
      <c r="AL73" s="207"/>
      <c r="AM73" s="207"/>
      <c r="AN73" s="207"/>
      <c r="AO73" s="207"/>
      <c r="AP73" s="207"/>
      <c r="AQ73" s="207"/>
      <c r="AR73" s="207"/>
      <c r="AS73" s="207"/>
      <c r="AT73" s="220"/>
      <c r="AU73" s="98">
        <f>I73-AF73</f>
        <v>91191.780824220565</v>
      </c>
    </row>
    <row r="74" spans="1:47" ht="13.5" hidden="1" outlineLevel="1" thickBot="1" x14ac:dyDescent="0.25">
      <c r="A74" s="88">
        <v>15</v>
      </c>
      <c r="B74" s="32" t="s">
        <v>137</v>
      </c>
      <c r="C74" s="190">
        <v>1092214</v>
      </c>
      <c r="D74" s="190">
        <v>1108389.1452070409</v>
      </c>
      <c r="E74" s="190">
        <v>0</v>
      </c>
      <c r="F74" s="190">
        <v>0</v>
      </c>
      <c r="G74" s="190">
        <v>0</v>
      </c>
      <c r="H74" s="190">
        <v>0</v>
      </c>
      <c r="I74" s="190">
        <f>SUM(C74:H74)</f>
        <v>2200603.1452070409</v>
      </c>
      <c r="J74" s="194"/>
      <c r="K74" s="121"/>
      <c r="L74" s="207"/>
      <c r="M74" s="207"/>
      <c r="N74" s="207"/>
      <c r="O74" s="207"/>
      <c r="P74" s="207"/>
      <c r="Q74" s="207"/>
      <c r="R74" s="220"/>
      <c r="S74" s="168">
        <v>1196044.29</v>
      </c>
      <c r="T74" s="168">
        <v>381532.27999999997</v>
      </c>
      <c r="U74" s="168">
        <v>10226.67</v>
      </c>
      <c r="V74" s="168">
        <v>3317.19</v>
      </c>
      <c r="W74" s="168">
        <v>1287.93</v>
      </c>
      <c r="X74" s="168">
        <v>8795.8700000000008</v>
      </c>
      <c r="Y74" s="168">
        <v>0</v>
      </c>
      <c r="Z74" s="168">
        <v>17312.580000000002</v>
      </c>
      <c r="AA74" s="168">
        <v>0</v>
      </c>
      <c r="AB74" s="168">
        <v>1604.06</v>
      </c>
      <c r="AC74" s="168">
        <v>41616.71</v>
      </c>
      <c r="AD74" s="168">
        <v>0</v>
      </c>
      <c r="AE74" s="168">
        <v>139281.54999999999</v>
      </c>
      <c r="AF74" s="169">
        <f t="shared" si="44"/>
        <v>1801019.1300000001</v>
      </c>
      <c r="AG74" s="121"/>
      <c r="AH74" s="207"/>
      <c r="AI74" s="207"/>
      <c r="AJ74" s="207"/>
      <c r="AK74" s="207"/>
      <c r="AL74" s="207"/>
      <c r="AM74" s="207"/>
      <c r="AN74" s="207"/>
      <c r="AO74" s="207"/>
      <c r="AP74" s="207"/>
      <c r="AQ74" s="207"/>
      <c r="AR74" s="207"/>
      <c r="AS74" s="207"/>
      <c r="AT74" s="220"/>
      <c r="AU74" s="103">
        <f>I74-AF74</f>
        <v>399584.01520704082</v>
      </c>
    </row>
    <row r="75" spans="1:47" collapsed="1" x14ac:dyDescent="0.2">
      <c r="A75" s="40">
        <v>15</v>
      </c>
      <c r="B75" s="45" t="s">
        <v>4</v>
      </c>
      <c r="C75" s="191">
        <f t="shared" ref="C75:H75" si="45">SUM(C73:C74)</f>
        <v>1218314</v>
      </c>
      <c r="D75" s="191">
        <f t="shared" si="45"/>
        <v>1355996.6560312614</v>
      </c>
      <c r="E75" s="191">
        <f t="shared" si="45"/>
        <v>0</v>
      </c>
      <c r="F75" s="191">
        <f t="shared" si="45"/>
        <v>0</v>
      </c>
      <c r="G75" s="191">
        <f t="shared" si="45"/>
        <v>0</v>
      </c>
      <c r="H75" s="191">
        <f t="shared" si="45"/>
        <v>0</v>
      </c>
      <c r="I75" s="191">
        <f>SUM(C75:H75)</f>
        <v>2574310.6560312612</v>
      </c>
      <c r="J75" s="196"/>
      <c r="K75" s="121"/>
      <c r="L75" s="207">
        <f>C75/I75</f>
        <v>0.47325834477111584</v>
      </c>
      <c r="M75" s="207">
        <f>D75/I75</f>
        <v>0.52674165522888428</v>
      </c>
      <c r="N75" s="207">
        <f>E75/I75</f>
        <v>0</v>
      </c>
      <c r="O75" s="207">
        <f>F75/I75</f>
        <v>0</v>
      </c>
      <c r="P75" s="207">
        <f>G75/I75</f>
        <v>0</v>
      </c>
      <c r="Q75" s="207">
        <f>H75/I75</f>
        <v>0</v>
      </c>
      <c r="R75" s="220"/>
      <c r="S75" s="171">
        <f>SUM(S73:S74)</f>
        <v>1378922.28</v>
      </c>
      <c r="T75" s="171">
        <f t="shared" ref="T75:AE75" si="46">SUM(T73:T74)</f>
        <v>439352.76999999996</v>
      </c>
      <c r="U75" s="171">
        <f t="shared" si="46"/>
        <v>10818.29</v>
      </c>
      <c r="V75" s="171">
        <f t="shared" si="46"/>
        <v>3317.19</v>
      </c>
      <c r="W75" s="171">
        <f t="shared" si="46"/>
        <v>2423.84</v>
      </c>
      <c r="X75" s="171">
        <f t="shared" si="46"/>
        <v>10500.18</v>
      </c>
      <c r="Y75" s="171">
        <f t="shared" si="46"/>
        <v>0</v>
      </c>
      <c r="Z75" s="171">
        <f t="shared" si="46"/>
        <v>17312.580000000002</v>
      </c>
      <c r="AA75" s="171">
        <f t="shared" si="46"/>
        <v>3617.55</v>
      </c>
      <c r="AB75" s="171">
        <f t="shared" si="46"/>
        <v>1752.31</v>
      </c>
      <c r="AC75" s="171">
        <f t="shared" si="46"/>
        <v>41616.71</v>
      </c>
      <c r="AD75" s="171">
        <f t="shared" si="46"/>
        <v>0</v>
      </c>
      <c r="AE75" s="171">
        <f t="shared" si="46"/>
        <v>173901.15999999997</v>
      </c>
      <c r="AF75" s="172">
        <f>SUM(S75:AE75)</f>
        <v>2083534.86</v>
      </c>
      <c r="AG75" s="121"/>
      <c r="AH75" s="207">
        <f>(S75+T75)/AF75</f>
        <v>0.87268760648429944</v>
      </c>
      <c r="AI75" s="207">
        <f>U75/AF75</f>
        <v>5.192276936513556E-3</v>
      </c>
      <c r="AJ75" s="207">
        <f>V75/AF75</f>
        <v>1.5920971919807475E-3</v>
      </c>
      <c r="AK75" s="207">
        <f>W75/AF75</f>
        <v>1.1633306677671809E-3</v>
      </c>
      <c r="AL75" s="207">
        <f>X75/AF75</f>
        <v>5.0395989054869954E-3</v>
      </c>
      <c r="AM75" s="207">
        <f>Y75/AF75</f>
        <v>0</v>
      </c>
      <c r="AN75" s="207">
        <f>Z75/AF75</f>
        <v>8.309234624468918E-3</v>
      </c>
      <c r="AO75" s="207">
        <f>AA75/AF75</f>
        <v>1.7362560470910479E-3</v>
      </c>
      <c r="AP75" s="207">
        <f>AB75/AF75</f>
        <v>8.4102744506036242E-4</v>
      </c>
      <c r="AQ75" s="207">
        <f>AC75/AF75</f>
        <v>1.9974088650477388E-2</v>
      </c>
      <c r="AR75" s="207">
        <f>AD75/AF75</f>
        <v>0</v>
      </c>
      <c r="AS75" s="207">
        <f>AE75/AF75</f>
        <v>8.3464483046854304E-2</v>
      </c>
      <c r="AT75" s="220"/>
      <c r="AU75" s="124">
        <f>I75-AF75</f>
        <v>490775.7960312611</v>
      </c>
    </row>
    <row r="76" spans="1:47" x14ac:dyDescent="0.2">
      <c r="A76" s="90"/>
      <c r="B76" s="72"/>
      <c r="C76" s="10"/>
      <c r="D76" s="10"/>
      <c r="E76" s="10"/>
      <c r="F76" s="10"/>
      <c r="G76" s="10"/>
      <c r="H76" s="10"/>
      <c r="I76" s="10"/>
      <c r="J76" s="69"/>
      <c r="K76" s="121"/>
      <c r="L76" s="218"/>
      <c r="M76" s="218"/>
      <c r="N76" s="218"/>
      <c r="O76" s="218"/>
      <c r="P76" s="218"/>
      <c r="Q76" s="218"/>
      <c r="R76" s="220"/>
      <c r="S76" s="112"/>
      <c r="T76" s="112"/>
      <c r="U76" s="104"/>
      <c r="V76" s="104"/>
      <c r="W76" s="104"/>
      <c r="X76" s="104"/>
      <c r="Y76" s="104"/>
      <c r="Z76" s="104"/>
      <c r="AA76" s="104"/>
      <c r="AB76" s="104"/>
      <c r="AC76" s="104"/>
      <c r="AD76" s="104"/>
      <c r="AE76" s="104"/>
      <c r="AF76" s="111"/>
      <c r="AG76" s="121"/>
      <c r="AH76" s="116"/>
      <c r="AI76" s="116"/>
      <c r="AJ76" s="116"/>
      <c r="AK76" s="116"/>
      <c r="AL76" s="116"/>
      <c r="AM76" s="116"/>
      <c r="AN76" s="116"/>
      <c r="AO76" s="116"/>
      <c r="AP76" s="116"/>
      <c r="AQ76" s="116"/>
      <c r="AR76" s="116"/>
      <c r="AS76" s="116"/>
      <c r="AT76" s="220"/>
      <c r="AU76" s="105"/>
    </row>
    <row r="77" spans="1:47" hidden="1" outlineLevel="1" x14ac:dyDescent="0.2">
      <c r="A77" s="88">
        <v>16</v>
      </c>
      <c r="B77" s="32" t="s">
        <v>138</v>
      </c>
      <c r="C77" s="189">
        <v>110410</v>
      </c>
      <c r="D77" s="189">
        <v>119202.11976761612</v>
      </c>
      <c r="E77" s="189">
        <v>0</v>
      </c>
      <c r="F77" s="189">
        <v>0</v>
      </c>
      <c r="G77" s="189">
        <v>0</v>
      </c>
      <c r="H77" s="189">
        <v>0</v>
      </c>
      <c r="I77" s="189">
        <f>SUM(C77:H77)</f>
        <v>229612.11976761612</v>
      </c>
      <c r="J77" s="194"/>
      <c r="K77" s="121"/>
      <c r="L77" s="207"/>
      <c r="M77" s="207"/>
      <c r="N77" s="207"/>
      <c r="O77" s="207"/>
      <c r="P77" s="207"/>
      <c r="Q77" s="207"/>
      <c r="R77" s="220"/>
      <c r="S77" s="166">
        <v>167897.16</v>
      </c>
      <c r="T77" s="166">
        <v>46847.979999999996</v>
      </c>
      <c r="U77" s="166">
        <v>0</v>
      </c>
      <c r="V77" s="166">
        <v>1811</v>
      </c>
      <c r="W77" s="166">
        <v>70</v>
      </c>
      <c r="X77" s="166">
        <v>0</v>
      </c>
      <c r="Y77" s="166">
        <v>0</v>
      </c>
      <c r="Z77" s="166">
        <v>1118.31</v>
      </c>
      <c r="AA77" s="166">
        <v>180</v>
      </c>
      <c r="AB77" s="166">
        <v>0</v>
      </c>
      <c r="AC77" s="166">
        <v>400</v>
      </c>
      <c r="AD77" s="166">
        <v>0</v>
      </c>
      <c r="AE77" s="166">
        <v>338.89</v>
      </c>
      <c r="AF77" s="167">
        <f t="shared" ref="AF77:AF78" si="47">SUM(S77:AE77)</f>
        <v>218663.34000000003</v>
      </c>
      <c r="AG77" s="121"/>
      <c r="AH77" s="207"/>
      <c r="AI77" s="207"/>
      <c r="AJ77" s="207"/>
      <c r="AK77" s="207"/>
      <c r="AL77" s="207"/>
      <c r="AM77" s="207"/>
      <c r="AN77" s="207"/>
      <c r="AO77" s="207"/>
      <c r="AP77" s="207"/>
      <c r="AQ77" s="207"/>
      <c r="AR77" s="207"/>
      <c r="AS77" s="207"/>
      <c r="AT77" s="220"/>
      <c r="AU77" s="98">
        <f>I77-AF77</f>
        <v>10948.779767616099</v>
      </c>
    </row>
    <row r="78" spans="1:47" ht="13.5" hidden="1" outlineLevel="1" thickBot="1" x14ac:dyDescent="0.25">
      <c r="A78" s="88">
        <v>16</v>
      </c>
      <c r="B78" s="32" t="s">
        <v>139</v>
      </c>
      <c r="C78" s="190">
        <v>1353464.98</v>
      </c>
      <c r="D78" s="190">
        <v>930505.88108919852</v>
      </c>
      <c r="E78" s="190">
        <v>0</v>
      </c>
      <c r="F78" s="190">
        <v>76353</v>
      </c>
      <c r="G78" s="190">
        <v>0</v>
      </c>
      <c r="H78" s="190">
        <v>0</v>
      </c>
      <c r="I78" s="190">
        <f>SUM(C78:H78)</f>
        <v>2360323.8610891984</v>
      </c>
      <c r="J78" s="194"/>
      <c r="K78" s="121"/>
      <c r="L78" s="207"/>
      <c r="M78" s="207"/>
      <c r="N78" s="207"/>
      <c r="O78" s="207"/>
      <c r="P78" s="207"/>
      <c r="Q78" s="207"/>
      <c r="R78" s="220"/>
      <c r="S78" s="168">
        <v>1522816.99</v>
      </c>
      <c r="T78" s="168">
        <v>459037.35999999993</v>
      </c>
      <c r="U78" s="168">
        <v>0</v>
      </c>
      <c r="V78" s="168">
        <v>6539</v>
      </c>
      <c r="W78" s="168">
        <v>3899.83</v>
      </c>
      <c r="X78" s="168">
        <v>0</v>
      </c>
      <c r="Y78" s="168">
        <v>0</v>
      </c>
      <c r="Z78" s="168">
        <v>9749.41</v>
      </c>
      <c r="AA78" s="168">
        <v>2771.28</v>
      </c>
      <c r="AB78" s="168">
        <v>11644.95</v>
      </c>
      <c r="AC78" s="168">
        <v>7086</v>
      </c>
      <c r="AD78" s="168">
        <v>720</v>
      </c>
      <c r="AE78" s="168">
        <v>21295.980000000003</v>
      </c>
      <c r="AF78" s="169">
        <f t="shared" si="47"/>
        <v>2045560.7999999998</v>
      </c>
      <c r="AG78" s="121"/>
      <c r="AH78" s="207"/>
      <c r="AI78" s="207"/>
      <c r="AJ78" s="207"/>
      <c r="AK78" s="207"/>
      <c r="AL78" s="207"/>
      <c r="AM78" s="207"/>
      <c r="AN78" s="207"/>
      <c r="AO78" s="207"/>
      <c r="AP78" s="207"/>
      <c r="AQ78" s="207"/>
      <c r="AR78" s="207"/>
      <c r="AS78" s="207"/>
      <c r="AT78" s="220"/>
      <c r="AU78" s="98">
        <f>I78-AF78</f>
        <v>314763.06108919857</v>
      </c>
    </row>
    <row r="79" spans="1:47" collapsed="1" x14ac:dyDescent="0.2">
      <c r="A79" s="40">
        <v>16</v>
      </c>
      <c r="B79" s="45" t="s">
        <v>4</v>
      </c>
      <c r="C79" s="195">
        <f>SUM(C77:C78)</f>
        <v>1463874.98</v>
      </c>
      <c r="D79" s="195">
        <f>SUM(D77:D78)</f>
        <v>1049708.0008568147</v>
      </c>
      <c r="E79" s="191">
        <v>0</v>
      </c>
      <c r="F79" s="191">
        <f>SUM(F78:F78)</f>
        <v>76353</v>
      </c>
      <c r="G79" s="191">
        <v>0</v>
      </c>
      <c r="H79" s="191">
        <v>0</v>
      </c>
      <c r="I79" s="191">
        <f>SUM(C79:H79)</f>
        <v>2589935.9808568144</v>
      </c>
      <c r="J79" s="196"/>
      <c r="K79" s="121"/>
      <c r="L79" s="207">
        <f>C79/I79</f>
        <v>0.56521666590218733</v>
      </c>
      <c r="M79" s="207">
        <f>D79/I79</f>
        <v>0.40530268262057406</v>
      </c>
      <c r="N79" s="207">
        <f>E79/I79</f>
        <v>0</v>
      </c>
      <c r="O79" s="207">
        <f>F79/I79</f>
        <v>2.9480651477238658E-2</v>
      </c>
      <c r="P79" s="207">
        <f>G79/I79</f>
        <v>0</v>
      </c>
      <c r="Q79" s="207">
        <f>H79/I79</f>
        <v>0</v>
      </c>
      <c r="R79" s="220"/>
      <c r="S79" s="171">
        <f>SUM(S77:S78)</f>
        <v>1690714.15</v>
      </c>
      <c r="T79" s="171">
        <f t="shared" ref="T79:AE79" si="48">SUM(T77:T78)</f>
        <v>505885.33999999991</v>
      </c>
      <c r="U79" s="171">
        <f t="shared" si="48"/>
        <v>0</v>
      </c>
      <c r="V79" s="171">
        <f t="shared" si="48"/>
        <v>8350</v>
      </c>
      <c r="W79" s="171">
        <f t="shared" si="48"/>
        <v>3969.83</v>
      </c>
      <c r="X79" s="171">
        <f t="shared" si="48"/>
        <v>0</v>
      </c>
      <c r="Y79" s="171">
        <f t="shared" si="48"/>
        <v>0</v>
      </c>
      <c r="Z79" s="171">
        <f t="shared" si="48"/>
        <v>10867.72</v>
      </c>
      <c r="AA79" s="171">
        <f t="shared" si="48"/>
        <v>2951.28</v>
      </c>
      <c r="AB79" s="171">
        <f t="shared" si="48"/>
        <v>11644.95</v>
      </c>
      <c r="AC79" s="171">
        <f t="shared" si="48"/>
        <v>7486</v>
      </c>
      <c r="AD79" s="171">
        <f t="shared" si="48"/>
        <v>720</v>
      </c>
      <c r="AE79" s="171">
        <f t="shared" si="48"/>
        <v>21634.870000000003</v>
      </c>
      <c r="AF79" s="172">
        <f>SUM(S79:AE79)</f>
        <v>2264224.14</v>
      </c>
      <c r="AG79" s="121"/>
      <c r="AH79" s="207">
        <f>(S79+T79)/AF79</f>
        <v>0.97013341179199675</v>
      </c>
      <c r="AI79" s="207">
        <f>U79/AF79</f>
        <v>0</v>
      </c>
      <c r="AJ79" s="207">
        <f>V79/AF79</f>
        <v>3.6877974457069427E-3</v>
      </c>
      <c r="AK79" s="207">
        <f>W79/AF79</f>
        <v>1.7532849022623704E-3</v>
      </c>
      <c r="AL79" s="207">
        <f>X79/AF79</f>
        <v>0</v>
      </c>
      <c r="AM79" s="207">
        <f>Y79/AF79</f>
        <v>0</v>
      </c>
      <c r="AN79" s="207">
        <f>Z79/AF79</f>
        <v>4.7997544978033843E-3</v>
      </c>
      <c r="AO79" s="207">
        <f>AA79/AF79</f>
        <v>1.3034398617444297E-3</v>
      </c>
      <c r="AP79" s="207">
        <f>AB79/AF79</f>
        <v>5.1430199838784513E-3</v>
      </c>
      <c r="AQ79" s="207">
        <f>AC79/AF79</f>
        <v>3.3062097818637335E-3</v>
      </c>
      <c r="AR79" s="207">
        <f>AD79/AF79</f>
        <v>3.1798971986934119E-4</v>
      </c>
      <c r="AS79" s="207">
        <f>AE79/AF79</f>
        <v>9.5550920148744639E-3</v>
      </c>
      <c r="AT79" s="220"/>
      <c r="AU79" s="124">
        <f>I79-AF79</f>
        <v>325711.84085681429</v>
      </c>
    </row>
    <row r="80" spans="1:47" x14ac:dyDescent="0.2">
      <c r="A80" s="95"/>
      <c r="B80" s="95"/>
      <c r="C80" s="30"/>
      <c r="D80" s="30"/>
      <c r="E80" s="27"/>
      <c r="F80" s="31"/>
      <c r="G80" s="27"/>
      <c r="H80" s="27"/>
      <c r="I80" s="31"/>
      <c r="J80" s="69"/>
      <c r="K80" s="121"/>
      <c r="L80" s="218"/>
      <c r="M80" s="218"/>
      <c r="N80" s="218"/>
      <c r="O80" s="218"/>
      <c r="P80" s="218"/>
      <c r="Q80" s="218"/>
      <c r="R80" s="220"/>
      <c r="S80" s="116"/>
      <c r="T80" s="116"/>
      <c r="U80" s="116"/>
      <c r="V80" s="116"/>
      <c r="W80" s="116"/>
      <c r="X80" s="116"/>
      <c r="Y80" s="116"/>
      <c r="Z80" s="116"/>
      <c r="AA80" s="116"/>
      <c r="AB80" s="116"/>
      <c r="AC80" s="116"/>
      <c r="AD80" s="116"/>
      <c r="AE80" s="116"/>
      <c r="AF80" s="117"/>
      <c r="AG80" s="121"/>
      <c r="AH80" s="116"/>
      <c r="AI80" s="116"/>
      <c r="AJ80" s="116"/>
      <c r="AK80" s="116"/>
      <c r="AL80" s="116"/>
      <c r="AM80" s="116"/>
      <c r="AN80" s="116"/>
      <c r="AO80" s="116"/>
      <c r="AP80" s="116"/>
      <c r="AQ80" s="116"/>
      <c r="AR80" s="116"/>
      <c r="AS80" s="116"/>
      <c r="AT80" s="220"/>
      <c r="AU80" s="118"/>
    </row>
    <row r="81" spans="1:47" x14ac:dyDescent="0.2">
      <c r="A81" s="88"/>
      <c r="B81" s="32"/>
      <c r="C81" s="192"/>
      <c r="D81" s="192"/>
      <c r="E81" s="192"/>
      <c r="F81" s="189"/>
      <c r="G81" s="192"/>
      <c r="H81" s="192"/>
      <c r="I81" s="192"/>
      <c r="J81" s="194"/>
      <c r="K81" s="121"/>
      <c r="L81" s="207"/>
      <c r="M81" s="207"/>
      <c r="N81" s="207"/>
      <c r="O81" s="207"/>
      <c r="P81" s="207"/>
      <c r="Q81" s="207"/>
      <c r="R81" s="220"/>
      <c r="S81" s="174"/>
      <c r="T81" s="174"/>
      <c r="U81" s="174"/>
      <c r="V81" s="174"/>
      <c r="W81" s="174"/>
      <c r="X81" s="174"/>
      <c r="Y81" s="174"/>
      <c r="Z81" s="174"/>
      <c r="AA81" s="174"/>
      <c r="AB81" s="174"/>
      <c r="AC81" s="174"/>
      <c r="AD81" s="174"/>
      <c r="AE81" s="174"/>
      <c r="AF81" s="174"/>
      <c r="AG81" s="121"/>
      <c r="AH81" s="207"/>
      <c r="AI81" s="207"/>
      <c r="AJ81" s="207"/>
      <c r="AK81" s="207"/>
      <c r="AL81" s="207"/>
      <c r="AM81" s="207"/>
      <c r="AN81" s="207"/>
      <c r="AO81" s="207"/>
      <c r="AP81" s="207"/>
      <c r="AQ81" s="207"/>
      <c r="AR81" s="207"/>
      <c r="AS81" s="207"/>
      <c r="AT81" s="220"/>
      <c r="AU81" s="119"/>
    </row>
    <row r="82" spans="1:47" x14ac:dyDescent="0.2">
      <c r="A82" s="88"/>
      <c r="B82" s="87" t="s">
        <v>48</v>
      </c>
      <c r="C82" s="195">
        <f t="shared" ref="C82:H82" si="49">C79+C75+C71+C64+C60+C56+C50+C46+C42+C36+C32+C27+C23+C17+C11+C6</f>
        <v>16641570.440000001</v>
      </c>
      <c r="D82" s="195">
        <f>D79+D75+D71+D64+D60+D56+D50+D46+D42+D36+D32+D27+D23+D17+D11+D6</f>
        <v>19037781.619999997</v>
      </c>
      <c r="E82" s="195">
        <f t="shared" si="49"/>
        <v>0</v>
      </c>
      <c r="F82" s="195">
        <f t="shared" si="49"/>
        <v>509519</v>
      </c>
      <c r="G82" s="195">
        <f t="shared" si="49"/>
        <v>487477.87</v>
      </c>
      <c r="H82" s="195">
        <f t="shared" si="49"/>
        <v>20000</v>
      </c>
      <c r="I82" s="195">
        <f>SUM(C82:H82)</f>
        <v>36696348.93</v>
      </c>
      <c r="J82" s="195"/>
      <c r="K82" s="121"/>
      <c r="L82" s="208">
        <f>C82/I82</f>
        <v>0.45349390130730921</v>
      </c>
      <c r="M82" s="208">
        <f>D82/I82</f>
        <v>0.5187922552272286</v>
      </c>
      <c r="N82" s="208">
        <f>E82/I82</f>
        <v>0</v>
      </c>
      <c r="O82" s="208">
        <f>F82/I82</f>
        <v>1.3884732810120464E-2</v>
      </c>
      <c r="P82" s="208">
        <f>G82/I82</f>
        <v>1.328409730706144E-2</v>
      </c>
      <c r="Q82" s="208">
        <f>H82/I82</f>
        <v>5.4501334828025902E-4</v>
      </c>
      <c r="R82" s="220"/>
      <c r="S82" s="175">
        <f t="shared" ref="S82:AF82" si="50">SUM(S6+S11+S17+S23+S27+S32+S36+S42+S46+S50+S56+S60+S64+S71+S75+S79)</f>
        <v>22185686.710000001</v>
      </c>
      <c r="T82" s="175">
        <f t="shared" si="50"/>
        <v>6489039.8199999994</v>
      </c>
      <c r="U82" s="175">
        <f t="shared" si="50"/>
        <v>136385.07999999999</v>
      </c>
      <c r="V82" s="175">
        <f t="shared" si="50"/>
        <v>302353.69099999999</v>
      </c>
      <c r="W82" s="175">
        <f t="shared" si="50"/>
        <v>46849.66</v>
      </c>
      <c r="X82" s="175">
        <f t="shared" si="50"/>
        <v>184631.5</v>
      </c>
      <c r="Y82" s="175">
        <f t="shared" si="50"/>
        <v>24965.68</v>
      </c>
      <c r="Z82" s="175">
        <f t="shared" si="50"/>
        <v>198735.84</v>
      </c>
      <c r="AA82" s="175">
        <f t="shared" si="50"/>
        <v>145602.32999999996</v>
      </c>
      <c r="AB82" s="175">
        <f t="shared" si="50"/>
        <v>721789.18</v>
      </c>
      <c r="AC82" s="175">
        <f t="shared" si="50"/>
        <v>336244.93</v>
      </c>
      <c r="AD82" s="175">
        <f t="shared" si="50"/>
        <v>116007.07</v>
      </c>
      <c r="AE82" s="175">
        <f t="shared" si="50"/>
        <v>1067396.6800000002</v>
      </c>
      <c r="AF82" s="175">
        <f t="shared" si="50"/>
        <v>31955688.171000004</v>
      </c>
      <c r="AG82" s="121"/>
      <c r="AH82" s="208">
        <f>(S82+T82)/AF82</f>
        <v>0.89732777390231588</v>
      </c>
      <c r="AI82" s="208">
        <f>U82/AF82</f>
        <v>4.2679437623180444E-3</v>
      </c>
      <c r="AJ82" s="208">
        <f>V82/AF82</f>
        <v>9.4616548197008609E-3</v>
      </c>
      <c r="AK82" s="208">
        <f>W82/AF82</f>
        <v>1.4660820242487025E-3</v>
      </c>
      <c r="AL82" s="208">
        <f>X82/AF82</f>
        <v>5.7777350627533754E-3</v>
      </c>
      <c r="AM82" s="208">
        <f>Y82/AF82</f>
        <v>7.8125934470272239E-4</v>
      </c>
      <c r="AN82" s="208">
        <f>Z82/AF82</f>
        <v>6.2191068750118194E-3</v>
      </c>
      <c r="AO82" s="208">
        <f>AA82/AF82</f>
        <v>4.5563822384565335E-3</v>
      </c>
      <c r="AP82" s="208">
        <f>AB82/AF82</f>
        <v>2.2587189364772574E-2</v>
      </c>
      <c r="AQ82" s="208">
        <f>AC82/AF82</f>
        <v>1.0522224656865455E-2</v>
      </c>
      <c r="AR82" s="208">
        <f>AD82/AF82</f>
        <v>3.6302479038857684E-3</v>
      </c>
      <c r="AS82" s="208">
        <f>AE82/AF82</f>
        <v>3.3402400044968195E-2</v>
      </c>
      <c r="AT82" s="220"/>
      <c r="AU82" s="120">
        <f>SUM(AU6+AU11+AU17+AU23+AU27+AU32+AU36+AU42+AU46+AU50+AU56+AU60+AU64+AU71+AU75+AU79)</f>
        <v>4740660.7589999959</v>
      </c>
    </row>
  </sheetData>
  <mergeCells count="4">
    <mergeCell ref="C1:J1"/>
    <mergeCell ref="S1:AF1"/>
    <mergeCell ref="L1:Q1"/>
    <mergeCell ref="AH1:AS1"/>
  </mergeCells>
  <pageMargins left="0.7" right="0.7" top="0.75" bottom="0.75" header="0.3" footer="0.3"/>
  <pageSetup paperSize="5" scale="44" fitToHeight="0" orientation="landscape" r:id="rId1"/>
  <headerFooter>
    <oddHeader>&amp;CIndigent Defense Revenue and Expenses (FY16-17)</oddHeader>
    <oddFooter>&amp;LData and analysis based on reports submitted by Commission on Indigent Defense and Commission on Prosecution Coordination pursuant to FY15-16 Proviso 117.110 and FY16-17 Proviso 117.109</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88"/>
  <sheetViews>
    <sheetView zoomScaleNormal="100" workbookViewId="0">
      <pane xSplit="2" ySplit="2" topLeftCell="H3" activePane="bottomRight" state="frozen"/>
      <selection pane="topRight" activeCell="C1" sqref="C1"/>
      <selection pane="bottomLeft" activeCell="A3" sqref="A3"/>
      <selection pane="bottomRight" activeCell="W2" sqref="W2"/>
    </sheetView>
  </sheetViews>
  <sheetFormatPr defaultColWidth="9.140625" defaultRowHeight="12.75" outlineLevelCol="1" x14ac:dyDescent="0.2"/>
  <cols>
    <col min="1" max="1" width="3.42578125" style="1" bestFit="1" customWidth="1"/>
    <col min="2" max="2" width="17.7109375" style="1" customWidth="1"/>
    <col min="3" max="3" width="15.42578125" style="35" bestFit="1" customWidth="1" outlineLevel="1"/>
    <col min="4" max="4" width="13" style="35" customWidth="1" outlineLevel="1"/>
    <col min="5" max="5" width="12" style="35" customWidth="1" outlineLevel="1"/>
    <col min="6" max="6" width="12.28515625" style="59" customWidth="1" outlineLevel="1"/>
    <col min="7" max="7" width="12.140625" style="60" customWidth="1" outlineLevel="1"/>
    <col min="8" max="8" width="12.42578125" style="60" customWidth="1" outlineLevel="1"/>
    <col min="9" max="9" width="11.140625" style="60" customWidth="1" outlineLevel="1"/>
    <col min="10" max="10" width="13" style="60" customWidth="1" outlineLevel="1"/>
    <col min="11" max="11" width="12.28515625" style="60" customWidth="1" outlineLevel="1"/>
    <col min="12" max="12" width="13.28515625" style="60" customWidth="1" outlineLevel="1"/>
    <col min="13" max="13" width="13.140625" style="60" customWidth="1" outlineLevel="1"/>
    <col min="14" max="14" width="11.28515625" style="60" customWidth="1" outlineLevel="1"/>
    <col min="15" max="15" width="12.7109375" style="60" customWidth="1" outlineLevel="1"/>
    <col min="16" max="16" width="15.140625" style="60" customWidth="1" outlineLevel="1"/>
    <col min="17" max="17" width="16.140625" style="60" customWidth="1" outlineLevel="1"/>
    <col min="18" max="18" width="14.85546875" style="60" customWidth="1" outlineLevel="1"/>
    <col min="19" max="19" width="5" style="1" customWidth="1"/>
    <col min="20" max="20" width="15.42578125" style="4" bestFit="1" customWidth="1" outlineLevel="1"/>
    <col min="21" max="21" width="14.28515625" style="4" bestFit="1" customWidth="1" outlineLevel="1"/>
    <col min="22" max="22" width="13.28515625" style="4" bestFit="1" customWidth="1" outlineLevel="1"/>
    <col min="23" max="23" width="20.140625" style="4" bestFit="1" customWidth="1" outlineLevel="1"/>
    <col min="24" max="24" width="15.28515625" style="4" bestFit="1" customWidth="1" outlineLevel="1"/>
    <col min="25" max="25" width="14.28515625" style="5" bestFit="1" customWidth="1" outlineLevel="1"/>
    <col min="26" max="26" width="21.140625" style="5" bestFit="1" customWidth="1" outlineLevel="1"/>
    <col min="27" max="27" width="27.85546875" style="144" customWidth="1" outlineLevel="1"/>
    <col min="28" max="16384" width="9.140625" style="5"/>
  </cols>
  <sheetData>
    <row r="1" spans="1:27" x14ac:dyDescent="0.2">
      <c r="C1" s="36" t="s">
        <v>49</v>
      </c>
      <c r="D1" s="36" t="s">
        <v>49</v>
      </c>
      <c r="E1" s="36" t="s">
        <v>49</v>
      </c>
      <c r="F1" s="36" t="s">
        <v>49</v>
      </c>
      <c r="G1" s="36" t="s">
        <v>49</v>
      </c>
      <c r="H1" s="36" t="s">
        <v>49</v>
      </c>
      <c r="I1" s="36" t="s">
        <v>49</v>
      </c>
      <c r="J1" s="36" t="s">
        <v>49</v>
      </c>
      <c r="K1" s="36" t="s">
        <v>49</v>
      </c>
      <c r="L1" s="36" t="s">
        <v>49</v>
      </c>
      <c r="M1" s="36" t="s">
        <v>49</v>
      </c>
      <c r="N1" s="36" t="s">
        <v>49</v>
      </c>
      <c r="O1" s="36" t="s">
        <v>49</v>
      </c>
      <c r="P1" s="36" t="s">
        <v>49</v>
      </c>
      <c r="Q1" s="36" t="s">
        <v>49</v>
      </c>
      <c r="R1" s="36" t="s">
        <v>49</v>
      </c>
      <c r="S1" s="15"/>
      <c r="T1" s="37" t="s">
        <v>53</v>
      </c>
      <c r="U1" s="37" t="s">
        <v>53</v>
      </c>
      <c r="V1" s="37" t="s">
        <v>53</v>
      </c>
      <c r="W1" s="37" t="s">
        <v>53</v>
      </c>
      <c r="X1" s="37" t="s">
        <v>53</v>
      </c>
      <c r="Y1" s="37" t="s">
        <v>53</v>
      </c>
      <c r="Z1" s="37" t="s">
        <v>53</v>
      </c>
      <c r="AA1" s="37" t="s">
        <v>53</v>
      </c>
    </row>
    <row r="2" spans="1:27" s="39" customFormat="1" ht="89.25" x14ac:dyDescent="0.2">
      <c r="A2" s="136" t="s">
        <v>0</v>
      </c>
      <c r="B2" s="21" t="s">
        <v>78</v>
      </c>
      <c r="C2" s="131" t="s">
        <v>140</v>
      </c>
      <c r="D2" s="131" t="s">
        <v>141</v>
      </c>
      <c r="E2" s="132" t="s">
        <v>142</v>
      </c>
      <c r="F2" s="132" t="s">
        <v>143</v>
      </c>
      <c r="G2" s="132" t="s">
        <v>144</v>
      </c>
      <c r="H2" s="132" t="s">
        <v>145</v>
      </c>
      <c r="I2" s="132" t="s">
        <v>146</v>
      </c>
      <c r="J2" s="132" t="s">
        <v>147</v>
      </c>
      <c r="K2" s="132" t="s">
        <v>148</v>
      </c>
      <c r="L2" s="132" t="s">
        <v>149</v>
      </c>
      <c r="M2" s="132" t="s">
        <v>150</v>
      </c>
      <c r="N2" s="132" t="s">
        <v>151</v>
      </c>
      <c r="O2" s="132" t="s">
        <v>82</v>
      </c>
      <c r="P2" s="132" t="s">
        <v>50</v>
      </c>
      <c r="Q2" s="132" t="s">
        <v>66</v>
      </c>
      <c r="R2" s="127" t="s">
        <v>52</v>
      </c>
      <c r="S2" s="138"/>
      <c r="T2" s="17" t="s">
        <v>152</v>
      </c>
      <c r="U2" s="18" t="s">
        <v>153</v>
      </c>
      <c r="V2" s="19" t="s">
        <v>154</v>
      </c>
      <c r="W2" s="17" t="s">
        <v>82</v>
      </c>
      <c r="X2" s="17" t="s">
        <v>65</v>
      </c>
      <c r="Y2" s="132" t="s">
        <v>51</v>
      </c>
      <c r="Z2" s="127" t="s">
        <v>54</v>
      </c>
      <c r="AA2" s="127" t="s">
        <v>55</v>
      </c>
    </row>
    <row r="3" spans="1:27" s="41" customFormat="1" x14ac:dyDescent="0.2">
      <c r="A3" s="133">
        <v>1</v>
      </c>
      <c r="B3" s="134" t="s">
        <v>1</v>
      </c>
      <c r="C3" s="129">
        <v>0</v>
      </c>
      <c r="D3" s="129">
        <v>0</v>
      </c>
      <c r="E3" s="129">
        <v>0</v>
      </c>
      <c r="F3" s="129">
        <v>0</v>
      </c>
      <c r="G3" s="129">
        <v>0</v>
      </c>
      <c r="H3" s="129">
        <v>0</v>
      </c>
      <c r="I3" s="129">
        <v>0</v>
      </c>
      <c r="J3" s="129">
        <v>0</v>
      </c>
      <c r="K3" s="129">
        <v>0</v>
      </c>
      <c r="L3" s="129">
        <v>0</v>
      </c>
      <c r="M3" s="129">
        <v>0</v>
      </c>
      <c r="N3" s="129">
        <v>0</v>
      </c>
      <c r="O3" s="129">
        <v>0</v>
      </c>
      <c r="P3" s="130">
        <f>SUM(C3:O3)</f>
        <v>0</v>
      </c>
      <c r="Q3" s="135">
        <f>[17]Sheet1!$I$2</f>
        <v>70681.19</v>
      </c>
      <c r="R3" s="124">
        <f>Q3-P3</f>
        <v>70681.19</v>
      </c>
      <c r="S3" s="50"/>
      <c r="T3" s="22">
        <v>98683</v>
      </c>
      <c r="U3" s="22">
        <v>33838</v>
      </c>
      <c r="V3" s="22">
        <v>0</v>
      </c>
      <c r="W3" s="22">
        <v>0</v>
      </c>
      <c r="X3" s="22">
        <f>SUM(T3:W3)</f>
        <v>132521</v>
      </c>
      <c r="Y3" s="6">
        <v>60000</v>
      </c>
      <c r="Z3" s="6">
        <f>Y3-X3</f>
        <v>-72521</v>
      </c>
      <c r="AA3" s="4"/>
    </row>
    <row r="4" spans="1:27" s="41" customFormat="1" x14ac:dyDescent="0.2">
      <c r="A4" s="79">
        <v>1</v>
      </c>
      <c r="B4" s="43" t="s">
        <v>2</v>
      </c>
      <c r="C4" s="96">
        <v>0</v>
      </c>
      <c r="D4" s="96">
        <v>0</v>
      </c>
      <c r="E4" s="96">
        <v>0</v>
      </c>
      <c r="F4" s="96">
        <v>0</v>
      </c>
      <c r="G4" s="96">
        <v>0</v>
      </c>
      <c r="H4" s="96">
        <v>0</v>
      </c>
      <c r="I4" s="96">
        <v>0</v>
      </c>
      <c r="J4" s="96">
        <v>0</v>
      </c>
      <c r="K4" s="96">
        <v>0</v>
      </c>
      <c r="L4" s="96">
        <v>0</v>
      </c>
      <c r="M4" s="96">
        <v>0</v>
      </c>
      <c r="N4" s="96">
        <v>0</v>
      </c>
      <c r="O4" s="96">
        <v>0</v>
      </c>
      <c r="P4" s="97">
        <f t="shared" ref="P4:P5" si="0">SUM(C4:O4)</f>
        <v>0</v>
      </c>
      <c r="Q4" s="99">
        <f>[17]Sheet1!$I$3</f>
        <v>1015604.05</v>
      </c>
      <c r="R4" s="98">
        <f t="shared" ref="R4:R6" si="1">Q4-P4</f>
        <v>1015604.05</v>
      </c>
      <c r="S4" s="50"/>
      <c r="T4" s="22">
        <v>854347</v>
      </c>
      <c r="U4" s="22">
        <v>254389</v>
      </c>
      <c r="V4" s="22">
        <v>143030</v>
      </c>
      <c r="W4" s="22">
        <v>0</v>
      </c>
      <c r="X4" s="22">
        <f>SUM(T4:W4)</f>
        <v>1251766</v>
      </c>
      <c r="Y4" s="6">
        <v>1750674</v>
      </c>
      <c r="Z4" s="6">
        <f t="shared" ref="Z4:Z11" si="2">Y4-X4</f>
        <v>498908</v>
      </c>
      <c r="AA4" s="4"/>
    </row>
    <row r="5" spans="1:27" s="41" customFormat="1" ht="13.5" thickBot="1" x14ac:dyDescent="0.25">
      <c r="A5" s="79">
        <v>1</v>
      </c>
      <c r="B5" s="43" t="s">
        <v>3</v>
      </c>
      <c r="C5" s="100">
        <v>0</v>
      </c>
      <c r="D5" s="100">
        <v>0</v>
      </c>
      <c r="E5" s="100">
        <v>0</v>
      </c>
      <c r="F5" s="100">
        <v>0</v>
      </c>
      <c r="G5" s="100">
        <v>0</v>
      </c>
      <c r="H5" s="100">
        <v>0</v>
      </c>
      <c r="I5" s="100">
        <v>0</v>
      </c>
      <c r="J5" s="100">
        <v>0</v>
      </c>
      <c r="K5" s="100">
        <v>0</v>
      </c>
      <c r="L5" s="100">
        <v>0</v>
      </c>
      <c r="M5" s="100">
        <v>0</v>
      </c>
      <c r="N5" s="100">
        <v>0</v>
      </c>
      <c r="O5" s="100">
        <v>0</v>
      </c>
      <c r="P5" s="101">
        <f t="shared" si="0"/>
        <v>0</v>
      </c>
      <c r="Q5" s="102">
        <f>[17]Sheet1!$I$4</f>
        <v>846177.29</v>
      </c>
      <c r="R5" s="103">
        <f t="shared" si="1"/>
        <v>846177.29</v>
      </c>
      <c r="S5" s="50"/>
      <c r="T5" s="24">
        <v>889219</v>
      </c>
      <c r="U5" s="24">
        <v>264773</v>
      </c>
      <c r="V5" s="24">
        <v>148868</v>
      </c>
      <c r="W5" s="24">
        <v>0</v>
      </c>
      <c r="X5" s="24">
        <f>SUM(T5:W5)</f>
        <v>1302860</v>
      </c>
      <c r="Y5" s="62">
        <v>634288</v>
      </c>
      <c r="Z5" s="62">
        <f t="shared" si="2"/>
        <v>-668572</v>
      </c>
      <c r="AA5" s="4"/>
    </row>
    <row r="6" spans="1:27" s="41" customFormat="1" ht="13.5" thickTop="1" x14ac:dyDescent="0.2">
      <c r="A6" s="44"/>
      <c r="B6" s="45" t="s">
        <v>4</v>
      </c>
      <c r="C6" s="46">
        <v>1196867</v>
      </c>
      <c r="D6" s="46">
        <f>76623+151712+119035+5235</f>
        <v>352605</v>
      </c>
      <c r="E6" s="47">
        <v>6856</v>
      </c>
      <c r="F6" s="47">
        <v>5973</v>
      </c>
      <c r="G6" s="47">
        <v>4693</v>
      </c>
      <c r="H6" s="47">
        <v>53880</v>
      </c>
      <c r="I6" s="47">
        <v>5702</v>
      </c>
      <c r="J6" s="47">
        <v>27042</v>
      </c>
      <c r="K6" s="47">
        <v>530</v>
      </c>
      <c r="L6" s="47">
        <f>57772-27040.71</f>
        <v>30731.29</v>
      </c>
      <c r="M6" s="47">
        <v>21054</v>
      </c>
      <c r="N6" s="47">
        <v>20497</v>
      </c>
      <c r="O6" s="47">
        <f>1940+16381+5280</f>
        <v>23601</v>
      </c>
      <c r="P6" s="48">
        <f>SUM(C6:O6)</f>
        <v>1750031.29</v>
      </c>
      <c r="Q6" s="47">
        <f>SUM(Q3:Q5)</f>
        <v>1932462.53</v>
      </c>
      <c r="R6" s="49">
        <f t="shared" si="1"/>
        <v>182431.24</v>
      </c>
      <c r="S6" s="89"/>
      <c r="T6" s="25">
        <f t="shared" ref="T6:W6" si="3">SUM(T3:T5)</f>
        <v>1842249</v>
      </c>
      <c r="U6" s="25">
        <f t="shared" si="3"/>
        <v>553000</v>
      </c>
      <c r="V6" s="25">
        <f t="shared" si="3"/>
        <v>291898</v>
      </c>
      <c r="W6" s="25">
        <f t="shared" si="3"/>
        <v>0</v>
      </c>
      <c r="X6" s="25">
        <f>SUM(T6:W6)</f>
        <v>2687147</v>
      </c>
      <c r="Y6" s="6">
        <v>2444962</v>
      </c>
      <c r="Z6" s="6">
        <f t="shared" si="2"/>
        <v>-242185</v>
      </c>
      <c r="AA6" s="4"/>
    </row>
    <row r="7" spans="1:27" s="41" customFormat="1" x14ac:dyDescent="0.2">
      <c r="A7" s="80"/>
      <c r="B7" s="81"/>
      <c r="C7" s="104"/>
      <c r="D7" s="104"/>
      <c r="E7" s="104"/>
      <c r="F7" s="104"/>
      <c r="G7" s="104"/>
      <c r="H7" s="104"/>
      <c r="I7" s="104"/>
      <c r="J7" s="104"/>
      <c r="K7" s="104"/>
      <c r="L7" s="104"/>
      <c r="M7" s="104"/>
      <c r="N7" s="104"/>
      <c r="O7" s="104"/>
      <c r="P7" s="81"/>
      <c r="Q7" s="104"/>
      <c r="R7" s="105"/>
      <c r="S7" s="50"/>
      <c r="T7" s="26"/>
      <c r="U7" s="26"/>
      <c r="V7" s="26"/>
      <c r="W7" s="26"/>
      <c r="X7" s="27"/>
      <c r="Y7" s="9"/>
      <c r="Z7" s="10"/>
      <c r="AA7" s="10"/>
    </row>
    <row r="8" spans="1:27" s="41" customFormat="1" x14ac:dyDescent="0.2">
      <c r="A8" s="79">
        <v>2</v>
      </c>
      <c r="B8" s="43" t="s">
        <v>5</v>
      </c>
      <c r="C8" s="96">
        <v>0</v>
      </c>
      <c r="D8" s="96">
        <v>0</v>
      </c>
      <c r="E8" s="96">
        <v>0</v>
      </c>
      <c r="F8" s="96">
        <v>0</v>
      </c>
      <c r="G8" s="96">
        <v>0</v>
      </c>
      <c r="H8" s="96">
        <v>0</v>
      </c>
      <c r="I8" s="96">
        <v>0</v>
      </c>
      <c r="J8" s="96">
        <v>0</v>
      </c>
      <c r="K8" s="96">
        <v>0</v>
      </c>
      <c r="L8" s="96">
        <v>0</v>
      </c>
      <c r="M8" s="96">
        <v>0</v>
      </c>
      <c r="N8" s="96">
        <v>0</v>
      </c>
      <c r="O8" s="96">
        <v>0</v>
      </c>
      <c r="P8" s="97">
        <f t="shared" ref="P8:P10" si="4">SUM(C8:O8)</f>
        <v>0</v>
      </c>
      <c r="Q8" s="99">
        <f>[17]Sheet1!$I$7</f>
        <v>891793.74</v>
      </c>
      <c r="R8" s="98">
        <f t="shared" ref="R8:R11" si="5">Q8-P8</f>
        <v>891793.74</v>
      </c>
      <c r="S8" s="50"/>
      <c r="T8" s="22">
        <v>1825638</v>
      </c>
      <c r="U8" s="22">
        <v>580895</v>
      </c>
      <c r="V8" s="22">
        <v>607352</v>
      </c>
      <c r="W8" s="22">
        <v>0</v>
      </c>
      <c r="X8" s="22">
        <f>SUM(T8:W8)</f>
        <v>3013885</v>
      </c>
      <c r="Y8" s="6">
        <v>2691497</v>
      </c>
      <c r="Z8" s="6">
        <f t="shared" si="2"/>
        <v>-322388</v>
      </c>
      <c r="AA8" s="4"/>
    </row>
    <row r="9" spans="1:27" s="41" customFormat="1" x14ac:dyDescent="0.2">
      <c r="A9" s="79">
        <v>2</v>
      </c>
      <c r="B9" s="43" t="s">
        <v>6</v>
      </c>
      <c r="C9" s="96">
        <v>0</v>
      </c>
      <c r="D9" s="96">
        <v>0</v>
      </c>
      <c r="E9" s="96">
        <v>0</v>
      </c>
      <c r="F9" s="96">
        <v>0</v>
      </c>
      <c r="G9" s="96">
        <v>0</v>
      </c>
      <c r="H9" s="96">
        <v>0</v>
      </c>
      <c r="I9" s="96">
        <v>0</v>
      </c>
      <c r="J9" s="96">
        <v>0</v>
      </c>
      <c r="K9" s="96">
        <v>0</v>
      </c>
      <c r="L9" s="96">
        <v>0</v>
      </c>
      <c r="M9" s="96">
        <v>0</v>
      </c>
      <c r="N9" s="96">
        <v>0</v>
      </c>
      <c r="O9" s="96">
        <v>0</v>
      </c>
      <c r="P9" s="97">
        <f t="shared" si="4"/>
        <v>0</v>
      </c>
      <c r="Q9" s="99">
        <f>[17]Sheet1!$I$8</f>
        <v>75250.899999999994</v>
      </c>
      <c r="R9" s="98">
        <f t="shared" si="5"/>
        <v>75250.899999999994</v>
      </c>
      <c r="S9" s="50"/>
      <c r="T9" s="22">
        <v>82786</v>
      </c>
      <c r="U9" s="22">
        <v>26936</v>
      </c>
      <c r="V9" s="22">
        <v>5600</v>
      </c>
      <c r="W9" s="22">
        <v>0</v>
      </c>
      <c r="X9" s="22">
        <f>SUM(T9:W9)</f>
        <v>115322</v>
      </c>
      <c r="Y9" s="6">
        <v>81726</v>
      </c>
      <c r="Z9" s="6">
        <f t="shared" si="2"/>
        <v>-33596</v>
      </c>
      <c r="AA9" s="4"/>
    </row>
    <row r="10" spans="1:27" s="41" customFormat="1" ht="13.5" thickBot="1" x14ac:dyDescent="0.25">
      <c r="A10" s="79">
        <v>2</v>
      </c>
      <c r="B10" s="43" t="s">
        <v>7</v>
      </c>
      <c r="C10" s="100">
        <v>0</v>
      </c>
      <c r="D10" s="100">
        <v>0</v>
      </c>
      <c r="E10" s="100">
        <v>0</v>
      </c>
      <c r="F10" s="100">
        <v>0</v>
      </c>
      <c r="G10" s="100">
        <v>0</v>
      </c>
      <c r="H10" s="100">
        <v>0</v>
      </c>
      <c r="I10" s="100">
        <v>0</v>
      </c>
      <c r="J10" s="100">
        <v>0</v>
      </c>
      <c r="K10" s="100">
        <v>0</v>
      </c>
      <c r="L10" s="100">
        <v>0</v>
      </c>
      <c r="M10" s="100">
        <v>0</v>
      </c>
      <c r="N10" s="100">
        <v>0</v>
      </c>
      <c r="O10" s="100">
        <v>0</v>
      </c>
      <c r="P10" s="101">
        <f t="shared" si="4"/>
        <v>0</v>
      </c>
      <c r="Q10" s="102">
        <f>[17]Sheet1!$I$9</f>
        <v>134661.01</v>
      </c>
      <c r="R10" s="103">
        <f t="shared" si="5"/>
        <v>134661.01</v>
      </c>
      <c r="S10" s="50"/>
      <c r="T10" s="24">
        <v>226965</v>
      </c>
      <c r="U10" s="24">
        <v>63676</v>
      </c>
      <c r="V10" s="24">
        <v>16526</v>
      </c>
      <c r="W10" s="24">
        <v>0</v>
      </c>
      <c r="X10" s="24">
        <f>SUM(T10:W10)</f>
        <v>307167</v>
      </c>
      <c r="Y10" s="62">
        <v>130000</v>
      </c>
      <c r="Z10" s="62">
        <f t="shared" si="2"/>
        <v>-177167</v>
      </c>
      <c r="AA10" s="4"/>
    </row>
    <row r="11" spans="1:27" s="41" customFormat="1" ht="13.5" thickTop="1" x14ac:dyDescent="0.2">
      <c r="A11" s="44"/>
      <c r="B11" s="45" t="s">
        <v>4</v>
      </c>
      <c r="C11" s="106">
        <f>596974.3+339861.48</f>
        <v>936835.78</v>
      </c>
      <c r="D11" s="106">
        <f>47406.44+65661.18+70683.55</f>
        <v>183751.16999999998</v>
      </c>
      <c r="E11" s="106">
        <v>16397.5</v>
      </c>
      <c r="F11" s="106">
        <v>6000</v>
      </c>
      <c r="G11" s="106">
        <v>509.03</v>
      </c>
      <c r="H11" s="106">
        <v>62800</v>
      </c>
      <c r="I11" s="106">
        <v>0</v>
      </c>
      <c r="J11" s="106">
        <v>3183.95</v>
      </c>
      <c r="K11" s="106">
        <v>0</v>
      </c>
      <c r="L11" s="106">
        <f>23405.69</f>
        <v>23405.69</v>
      </c>
      <c r="M11" s="106">
        <v>2781.96</v>
      </c>
      <c r="N11" s="106">
        <v>20178.330000000002</v>
      </c>
      <c r="O11" s="106">
        <f>7114.67+2368.62+4670.65+5260+7037.81+78245</f>
        <v>104696.75</v>
      </c>
      <c r="P11" s="107">
        <f>SUM(C11:O11)</f>
        <v>1360540.16</v>
      </c>
      <c r="Q11" s="108">
        <f>SUM(Q8:Q10)</f>
        <v>1101705.6499999999</v>
      </c>
      <c r="R11" s="109">
        <f t="shared" si="5"/>
        <v>-258834.51</v>
      </c>
      <c r="S11" s="89"/>
      <c r="T11" s="25">
        <f t="shared" ref="T11:W11" si="6">SUM(T8:T10)</f>
        <v>2135389</v>
      </c>
      <c r="U11" s="25">
        <f t="shared" si="6"/>
        <v>671507</v>
      </c>
      <c r="V11" s="25">
        <f t="shared" si="6"/>
        <v>629478</v>
      </c>
      <c r="W11" s="25">
        <f t="shared" si="6"/>
        <v>0</v>
      </c>
      <c r="X11" s="25">
        <f>SUM(T11:W11)</f>
        <v>3436374</v>
      </c>
      <c r="Y11" s="6">
        <v>2903223</v>
      </c>
      <c r="Z11" s="6">
        <f t="shared" si="2"/>
        <v>-533151</v>
      </c>
      <c r="AA11" s="4"/>
    </row>
    <row r="12" spans="1:27" s="41" customFormat="1" x14ac:dyDescent="0.2">
      <c r="A12" s="80"/>
      <c r="B12" s="81"/>
      <c r="C12" s="104"/>
      <c r="D12" s="104"/>
      <c r="E12" s="104"/>
      <c r="F12" s="104"/>
      <c r="G12" s="104"/>
      <c r="H12" s="104"/>
      <c r="I12" s="104"/>
      <c r="J12" s="104"/>
      <c r="K12" s="104"/>
      <c r="L12" s="104"/>
      <c r="M12" s="104"/>
      <c r="N12" s="104"/>
      <c r="O12" s="104"/>
      <c r="P12" s="81"/>
      <c r="Q12" s="104"/>
      <c r="R12" s="105"/>
      <c r="S12" s="50"/>
      <c r="T12" s="10"/>
      <c r="U12" s="10"/>
      <c r="V12" s="10"/>
      <c r="W12" s="10"/>
      <c r="X12" s="10"/>
      <c r="Y12" s="9"/>
      <c r="Z12" s="10"/>
      <c r="AA12" s="10"/>
    </row>
    <row r="13" spans="1:27" s="41" customFormat="1" x14ac:dyDescent="0.2">
      <c r="A13" s="79">
        <v>3</v>
      </c>
      <c r="B13" s="43" t="s">
        <v>8</v>
      </c>
      <c r="C13" s="96">
        <v>0</v>
      </c>
      <c r="D13" s="96">
        <v>0</v>
      </c>
      <c r="E13" s="96">
        <v>0</v>
      </c>
      <c r="F13" s="96">
        <v>0</v>
      </c>
      <c r="G13" s="96">
        <v>0</v>
      </c>
      <c r="H13" s="96">
        <v>0</v>
      </c>
      <c r="I13" s="96">
        <v>0</v>
      </c>
      <c r="J13" s="96">
        <v>0</v>
      </c>
      <c r="K13" s="96">
        <v>0</v>
      </c>
      <c r="L13" s="96">
        <v>0</v>
      </c>
      <c r="M13" s="96">
        <v>0</v>
      </c>
      <c r="N13" s="96">
        <v>0</v>
      </c>
      <c r="O13" s="96">
        <v>0</v>
      </c>
      <c r="P13" s="97">
        <f t="shared" ref="P13:P16" si="7">SUM(C13:O13)</f>
        <v>0</v>
      </c>
      <c r="Q13" s="99">
        <f>[17]Sheet1!$I$12</f>
        <v>164141.15999999997</v>
      </c>
      <c r="R13" s="98">
        <f t="shared" ref="R13:R17" si="8">Q13-P13</f>
        <v>164141.15999999997</v>
      </c>
      <c r="S13" s="50"/>
      <c r="T13" s="22">
        <v>0</v>
      </c>
      <c r="U13" s="22">
        <v>0</v>
      </c>
      <c r="V13" s="22">
        <v>0</v>
      </c>
      <c r="W13" s="22">
        <v>0</v>
      </c>
      <c r="X13" s="22">
        <f>SUM(T13:W13)</f>
        <v>0</v>
      </c>
      <c r="Y13" s="6">
        <v>0</v>
      </c>
      <c r="Z13" s="6">
        <f t="shared" ref="Z13:Z17" si="9">Y13-X13</f>
        <v>0</v>
      </c>
      <c r="AA13" s="4"/>
    </row>
    <row r="14" spans="1:27" s="41" customFormat="1" x14ac:dyDescent="0.2">
      <c r="A14" s="79">
        <v>3</v>
      </c>
      <c r="B14" s="43" t="s">
        <v>9</v>
      </c>
      <c r="C14" s="96">
        <v>0</v>
      </c>
      <c r="D14" s="96">
        <v>0</v>
      </c>
      <c r="E14" s="96">
        <v>0</v>
      </c>
      <c r="F14" s="96">
        <v>0</v>
      </c>
      <c r="G14" s="96">
        <v>0</v>
      </c>
      <c r="H14" s="96">
        <v>0</v>
      </c>
      <c r="I14" s="96">
        <v>0</v>
      </c>
      <c r="J14" s="96">
        <v>0</v>
      </c>
      <c r="K14" s="96">
        <v>0</v>
      </c>
      <c r="L14" s="96">
        <v>0</v>
      </c>
      <c r="M14" s="96">
        <v>0</v>
      </c>
      <c r="N14" s="96">
        <v>0</v>
      </c>
      <c r="O14" s="96">
        <v>0</v>
      </c>
      <c r="P14" s="97">
        <f t="shared" si="7"/>
        <v>0</v>
      </c>
      <c r="Q14" s="99">
        <f>[17]Sheet1!$I$13</f>
        <v>88991.83</v>
      </c>
      <c r="R14" s="98">
        <f t="shared" si="8"/>
        <v>88991.83</v>
      </c>
      <c r="S14" s="50"/>
      <c r="T14" s="22">
        <v>0</v>
      </c>
      <c r="U14" s="22">
        <v>0</v>
      </c>
      <c r="V14" s="22">
        <v>0</v>
      </c>
      <c r="W14" s="22">
        <v>0</v>
      </c>
      <c r="X14" s="22">
        <f>SUM(T14:W14)</f>
        <v>0</v>
      </c>
      <c r="Y14" s="6">
        <v>0</v>
      </c>
      <c r="Z14" s="6">
        <f t="shared" si="9"/>
        <v>0</v>
      </c>
      <c r="AA14" s="4"/>
    </row>
    <row r="15" spans="1:27" s="41" customFormat="1" x14ac:dyDescent="0.2">
      <c r="A15" s="79">
        <v>3</v>
      </c>
      <c r="B15" s="43" t="s">
        <v>10</v>
      </c>
      <c r="C15" s="96">
        <v>0</v>
      </c>
      <c r="D15" s="96">
        <v>0</v>
      </c>
      <c r="E15" s="96">
        <v>0</v>
      </c>
      <c r="F15" s="96">
        <v>0</v>
      </c>
      <c r="G15" s="96">
        <v>0</v>
      </c>
      <c r="H15" s="96">
        <v>0</v>
      </c>
      <c r="I15" s="96">
        <v>0</v>
      </c>
      <c r="J15" s="96">
        <v>0</v>
      </c>
      <c r="K15" s="96">
        <v>0</v>
      </c>
      <c r="L15" s="96">
        <v>0</v>
      </c>
      <c r="M15" s="96">
        <v>0</v>
      </c>
      <c r="N15" s="96">
        <v>0</v>
      </c>
      <c r="O15" s="96">
        <v>0</v>
      </c>
      <c r="P15" s="97">
        <f t="shared" si="7"/>
        <v>0</v>
      </c>
      <c r="Q15" s="99">
        <f>[17]Sheet1!$I$14</f>
        <v>498905.64999999997</v>
      </c>
      <c r="R15" s="98">
        <f t="shared" si="8"/>
        <v>498905.64999999997</v>
      </c>
      <c r="S15" s="50"/>
      <c r="T15" s="22">
        <v>1164890</v>
      </c>
      <c r="U15" s="22">
        <v>391633</v>
      </c>
      <c r="V15" s="22">
        <v>141700</v>
      </c>
      <c r="W15" s="22">
        <v>0</v>
      </c>
      <c r="X15" s="22">
        <f>SUM(T15:W15)</f>
        <v>1698223</v>
      </c>
      <c r="Y15" s="6">
        <v>1818796.81</v>
      </c>
      <c r="Z15" s="6">
        <f t="shared" si="9"/>
        <v>120573.81000000006</v>
      </c>
      <c r="AA15" s="4"/>
    </row>
    <row r="16" spans="1:27" s="41" customFormat="1" ht="13.5" thickBot="1" x14ac:dyDescent="0.25">
      <c r="A16" s="79">
        <v>3</v>
      </c>
      <c r="B16" s="43" t="s">
        <v>11</v>
      </c>
      <c r="C16" s="100">
        <v>0</v>
      </c>
      <c r="D16" s="100">
        <v>0</v>
      </c>
      <c r="E16" s="100">
        <v>0</v>
      </c>
      <c r="F16" s="100">
        <v>0</v>
      </c>
      <c r="G16" s="100">
        <v>0</v>
      </c>
      <c r="H16" s="100">
        <v>0</v>
      </c>
      <c r="I16" s="100">
        <v>0</v>
      </c>
      <c r="J16" s="100">
        <v>0</v>
      </c>
      <c r="K16" s="100">
        <v>0</v>
      </c>
      <c r="L16" s="100">
        <v>0</v>
      </c>
      <c r="M16" s="100">
        <v>0</v>
      </c>
      <c r="N16" s="100">
        <v>0</v>
      </c>
      <c r="O16" s="100">
        <v>0</v>
      </c>
      <c r="P16" s="101">
        <f t="shared" si="7"/>
        <v>0</v>
      </c>
      <c r="Q16" s="102">
        <f>[17]Sheet1!$I$15</f>
        <v>119597.31999999999</v>
      </c>
      <c r="R16" s="103">
        <f t="shared" si="8"/>
        <v>119597.31999999999</v>
      </c>
      <c r="S16" s="89"/>
      <c r="T16" s="24">
        <v>0</v>
      </c>
      <c r="U16" s="24">
        <v>0</v>
      </c>
      <c r="V16" s="24">
        <v>0</v>
      </c>
      <c r="W16" s="24">
        <v>0</v>
      </c>
      <c r="X16" s="24">
        <f>SUM(T16:W16)</f>
        <v>0</v>
      </c>
      <c r="Y16" s="62">
        <v>0</v>
      </c>
      <c r="Z16" s="62">
        <f t="shared" si="9"/>
        <v>0</v>
      </c>
      <c r="AA16" s="4"/>
    </row>
    <row r="17" spans="1:27" s="41" customFormat="1" ht="13.5" thickTop="1" x14ac:dyDescent="0.2">
      <c r="A17" s="44"/>
      <c r="B17" s="45" t="s">
        <v>4</v>
      </c>
      <c r="C17" s="46">
        <v>692096</v>
      </c>
      <c r="D17" s="46">
        <f>47397.89+78508.28+71438.81+2150.8</f>
        <v>199495.77999999997</v>
      </c>
      <c r="E17" s="47">
        <v>0</v>
      </c>
      <c r="F17" s="47">
        <v>3559.28</v>
      </c>
      <c r="G17" s="47">
        <v>3444.71</v>
      </c>
      <c r="H17" s="47">
        <v>0</v>
      </c>
      <c r="I17" s="47">
        <v>0</v>
      </c>
      <c r="J17" s="47">
        <v>3439.36</v>
      </c>
      <c r="K17" s="47">
        <v>0</v>
      </c>
      <c r="L17" s="47">
        <v>100</v>
      </c>
      <c r="M17" s="47">
        <v>9930.9699999999993</v>
      </c>
      <c r="N17" s="47">
        <v>0</v>
      </c>
      <c r="O17" s="47">
        <f>4214.53+8052.29+1240.31+923</f>
        <v>14430.13</v>
      </c>
      <c r="P17" s="48">
        <f>SUM(C17:O17)</f>
        <v>926496.23</v>
      </c>
      <c r="Q17" s="47">
        <f>SUM(Q13:Q16)</f>
        <v>871635.95999999985</v>
      </c>
      <c r="R17" s="49">
        <f t="shared" si="8"/>
        <v>-54860.270000000135</v>
      </c>
      <c r="S17" s="92"/>
      <c r="T17" s="25">
        <f t="shared" ref="T17:W17" si="10">SUM(T13:T16)</f>
        <v>1164890</v>
      </c>
      <c r="U17" s="25">
        <f t="shared" si="10"/>
        <v>391633</v>
      </c>
      <c r="V17" s="25">
        <f t="shared" si="10"/>
        <v>141700</v>
      </c>
      <c r="W17" s="25">
        <f t="shared" si="10"/>
        <v>0</v>
      </c>
      <c r="X17" s="25">
        <f>SUM(T17:W17)</f>
        <v>1698223</v>
      </c>
      <c r="Y17" s="6">
        <v>1818796.81</v>
      </c>
      <c r="Z17" s="6">
        <f t="shared" si="9"/>
        <v>120573.81000000006</v>
      </c>
      <c r="AA17" s="4"/>
    </row>
    <row r="18" spans="1:27" x14ac:dyDescent="0.2">
      <c r="A18" s="80"/>
      <c r="B18" s="81"/>
      <c r="C18" s="104"/>
      <c r="D18" s="104"/>
      <c r="E18" s="104"/>
      <c r="F18" s="104"/>
      <c r="G18" s="104"/>
      <c r="H18" s="104"/>
      <c r="I18" s="104"/>
      <c r="J18" s="104"/>
      <c r="K18" s="104"/>
      <c r="L18" s="104"/>
      <c r="M18" s="104"/>
      <c r="N18" s="104"/>
      <c r="O18" s="104"/>
      <c r="P18" s="81"/>
      <c r="Q18" s="104"/>
      <c r="R18" s="105"/>
      <c r="S18" s="50"/>
      <c r="T18" s="26"/>
      <c r="U18" s="26"/>
      <c r="V18" s="26"/>
      <c r="W18" s="26"/>
      <c r="X18" s="26"/>
      <c r="Y18" s="9"/>
      <c r="Z18" s="10"/>
      <c r="AA18" s="10"/>
    </row>
    <row r="19" spans="1:27" x14ac:dyDescent="0.2">
      <c r="A19" s="79">
        <v>4</v>
      </c>
      <c r="B19" s="43" t="s">
        <v>12</v>
      </c>
      <c r="C19" s="96">
        <v>0</v>
      </c>
      <c r="D19" s="96">
        <v>0</v>
      </c>
      <c r="E19" s="96">
        <v>0</v>
      </c>
      <c r="F19" s="96">
        <v>0</v>
      </c>
      <c r="G19" s="96">
        <v>0</v>
      </c>
      <c r="H19" s="96">
        <v>0</v>
      </c>
      <c r="I19" s="96">
        <v>0</v>
      </c>
      <c r="J19" s="96">
        <v>0</v>
      </c>
      <c r="K19" s="96">
        <v>0</v>
      </c>
      <c r="L19" s="96">
        <v>0</v>
      </c>
      <c r="M19" s="96">
        <v>0</v>
      </c>
      <c r="N19" s="96">
        <v>0</v>
      </c>
      <c r="O19" s="96">
        <v>0</v>
      </c>
      <c r="P19" s="97">
        <f t="shared" ref="P19:P22" si="11">SUM(C19:O19)</f>
        <v>0</v>
      </c>
      <c r="Q19" s="99">
        <f>[17]Sheet1!$I$18</f>
        <v>308175.08999999997</v>
      </c>
      <c r="R19" s="98">
        <f t="shared" ref="R19:R23" si="12">Q19-P19</f>
        <v>308175.08999999997</v>
      </c>
      <c r="S19" s="50"/>
      <c r="T19" s="22">
        <v>0</v>
      </c>
      <c r="U19" s="22">
        <v>0</v>
      </c>
      <c r="V19" s="22">
        <v>0</v>
      </c>
      <c r="W19" s="22">
        <v>0</v>
      </c>
      <c r="X19" s="22">
        <f>SUM(T19:W19)</f>
        <v>0</v>
      </c>
      <c r="Y19" s="6">
        <v>147178</v>
      </c>
      <c r="Z19" s="6">
        <f t="shared" ref="Z19:Z23" si="13">Y19-X19</f>
        <v>147178</v>
      </c>
      <c r="AA19" s="4"/>
    </row>
    <row r="20" spans="1:27" x14ac:dyDescent="0.2">
      <c r="A20" s="79">
        <v>4</v>
      </c>
      <c r="B20" s="43" t="s">
        <v>13</v>
      </c>
      <c r="C20" s="96">
        <v>0</v>
      </c>
      <c r="D20" s="96">
        <v>0</v>
      </c>
      <c r="E20" s="96">
        <v>0</v>
      </c>
      <c r="F20" s="96">
        <v>0</v>
      </c>
      <c r="G20" s="96">
        <v>0</v>
      </c>
      <c r="H20" s="96">
        <v>0</v>
      </c>
      <c r="I20" s="96">
        <v>0</v>
      </c>
      <c r="J20" s="96">
        <v>0</v>
      </c>
      <c r="K20" s="96">
        <v>0</v>
      </c>
      <c r="L20" s="96">
        <v>0</v>
      </c>
      <c r="M20" s="96">
        <v>0</v>
      </c>
      <c r="N20" s="96">
        <v>0</v>
      </c>
      <c r="O20" s="96">
        <v>0</v>
      </c>
      <c r="P20" s="97">
        <f t="shared" si="11"/>
        <v>0</v>
      </c>
      <c r="Q20" s="99">
        <f>[17]Sheet1!$I$19</f>
        <v>320068.02</v>
      </c>
      <c r="R20" s="98">
        <f t="shared" si="12"/>
        <v>320068.02</v>
      </c>
      <c r="S20" s="50"/>
      <c r="T20" s="22">
        <v>0</v>
      </c>
      <c r="U20" s="22">
        <v>0</v>
      </c>
      <c r="V20" s="22">
        <v>0</v>
      </c>
      <c r="W20" s="22">
        <v>0</v>
      </c>
      <c r="X20" s="22">
        <f>SUM(T20:W20)</f>
        <v>0</v>
      </c>
      <c r="Y20" s="6">
        <v>137200</v>
      </c>
      <c r="Z20" s="6">
        <f t="shared" si="13"/>
        <v>137200</v>
      </c>
      <c r="AA20" s="4"/>
    </row>
    <row r="21" spans="1:27" x14ac:dyDescent="0.2">
      <c r="A21" s="79">
        <v>4</v>
      </c>
      <c r="B21" s="43" t="s">
        <v>14</v>
      </c>
      <c r="C21" s="96">
        <v>0</v>
      </c>
      <c r="D21" s="96">
        <v>0</v>
      </c>
      <c r="E21" s="96">
        <v>0</v>
      </c>
      <c r="F21" s="96">
        <v>0</v>
      </c>
      <c r="G21" s="96">
        <v>0</v>
      </c>
      <c r="H21" s="96">
        <v>0</v>
      </c>
      <c r="I21" s="96">
        <v>0</v>
      </c>
      <c r="J21" s="96">
        <v>0</v>
      </c>
      <c r="K21" s="96">
        <v>0</v>
      </c>
      <c r="L21" s="96">
        <v>0</v>
      </c>
      <c r="M21" s="96">
        <v>0</v>
      </c>
      <c r="N21" s="96">
        <v>0</v>
      </c>
      <c r="O21" s="96">
        <v>0</v>
      </c>
      <c r="P21" s="97">
        <f t="shared" si="11"/>
        <v>0</v>
      </c>
      <c r="Q21" s="99">
        <f>[17]Sheet1!$I$20</f>
        <v>135726.15999999997</v>
      </c>
      <c r="R21" s="98">
        <f t="shared" si="12"/>
        <v>135726.15999999997</v>
      </c>
      <c r="S21" s="50"/>
      <c r="T21" s="22">
        <v>0</v>
      </c>
      <c r="U21" s="22">
        <v>0</v>
      </c>
      <c r="V21" s="22">
        <v>0</v>
      </c>
      <c r="W21" s="22">
        <v>0</v>
      </c>
      <c r="X21" s="22">
        <f>SUM(T21:W21)</f>
        <v>0</v>
      </c>
      <c r="Y21" s="6">
        <v>90000</v>
      </c>
      <c r="Z21" s="6">
        <f t="shared" si="13"/>
        <v>90000</v>
      </c>
      <c r="AA21" s="4"/>
    </row>
    <row r="22" spans="1:27" ht="13.5" thickBot="1" x14ac:dyDescent="0.25">
      <c r="A22" s="79">
        <v>4</v>
      </c>
      <c r="B22" s="43" t="s">
        <v>15</v>
      </c>
      <c r="C22" s="100">
        <v>0</v>
      </c>
      <c r="D22" s="100">
        <v>0</v>
      </c>
      <c r="E22" s="100">
        <v>0</v>
      </c>
      <c r="F22" s="100">
        <v>0</v>
      </c>
      <c r="G22" s="100">
        <v>0</v>
      </c>
      <c r="H22" s="100">
        <v>0</v>
      </c>
      <c r="I22" s="100">
        <v>0</v>
      </c>
      <c r="J22" s="100">
        <v>0</v>
      </c>
      <c r="K22" s="100">
        <v>0</v>
      </c>
      <c r="L22" s="100">
        <v>0</v>
      </c>
      <c r="M22" s="100">
        <v>0</v>
      </c>
      <c r="N22" s="100">
        <v>0</v>
      </c>
      <c r="O22" s="100">
        <v>0</v>
      </c>
      <c r="P22" s="101">
        <f t="shared" si="11"/>
        <v>0</v>
      </c>
      <c r="Q22" s="102">
        <f>[17]Sheet1!$I$21</f>
        <v>130040.3</v>
      </c>
      <c r="R22" s="103">
        <f t="shared" si="12"/>
        <v>130040.3</v>
      </c>
      <c r="S22" s="89"/>
      <c r="T22" s="24">
        <v>0</v>
      </c>
      <c r="U22" s="24">
        <v>0</v>
      </c>
      <c r="V22" s="24">
        <v>0</v>
      </c>
      <c r="W22" s="24">
        <v>0</v>
      </c>
      <c r="X22" s="24">
        <f>SUM(T22:W22)</f>
        <v>0</v>
      </c>
      <c r="Y22" s="62">
        <v>89000</v>
      </c>
      <c r="Z22" s="62">
        <f t="shared" si="13"/>
        <v>89000</v>
      </c>
      <c r="AA22" s="4"/>
    </row>
    <row r="23" spans="1:27" s="41" customFormat="1" ht="64.5" thickTop="1" x14ac:dyDescent="0.2">
      <c r="A23" s="44"/>
      <c r="B23" s="45" t="s">
        <v>4</v>
      </c>
      <c r="C23" s="106">
        <v>525693.04</v>
      </c>
      <c r="D23" s="106">
        <f>147841.85+2178.91</f>
        <v>150020.76</v>
      </c>
      <c r="E23" s="106">
        <v>1572.25</v>
      </c>
      <c r="F23" s="106">
        <v>80040.429999999993</v>
      </c>
      <c r="G23" s="106">
        <v>732</v>
      </c>
      <c r="H23" s="106">
        <v>5850</v>
      </c>
      <c r="I23" s="106">
        <v>6878.13</v>
      </c>
      <c r="J23" s="106">
        <v>5047.05</v>
      </c>
      <c r="K23" s="106">
        <v>0</v>
      </c>
      <c r="L23" s="106">
        <v>15925</v>
      </c>
      <c r="M23" s="106">
        <v>10818.84</v>
      </c>
      <c r="N23" s="106">
        <v>475.72</v>
      </c>
      <c r="O23" s="106">
        <f>7288+27507.68+225+3201.2+178.06</f>
        <v>38399.939999999995</v>
      </c>
      <c r="P23" s="48">
        <f>SUM(C23:O23)</f>
        <v>841453.15999999992</v>
      </c>
      <c r="Q23" s="47">
        <f>SUM(Q19:Q22)</f>
        <v>894009.57000000007</v>
      </c>
      <c r="R23" s="49">
        <f t="shared" si="12"/>
        <v>52556.410000000149</v>
      </c>
      <c r="S23" s="92"/>
      <c r="T23" s="25">
        <v>1014884</v>
      </c>
      <c r="U23" s="25">
        <v>396307</v>
      </c>
      <c r="V23" s="25">
        <v>327580</v>
      </c>
      <c r="W23" s="25"/>
      <c r="X23" s="25">
        <f>SUM(T23:W23)</f>
        <v>1738771</v>
      </c>
      <c r="Y23" s="42">
        <v>2017608</v>
      </c>
      <c r="Z23" s="6">
        <f t="shared" si="13"/>
        <v>278837</v>
      </c>
      <c r="AA23" s="43" t="s">
        <v>70</v>
      </c>
    </row>
    <row r="24" spans="1:27" x14ac:dyDescent="0.2">
      <c r="A24" s="80"/>
      <c r="B24" s="81"/>
      <c r="C24" s="104"/>
      <c r="D24" s="104"/>
      <c r="E24" s="104"/>
      <c r="F24" s="104"/>
      <c r="G24" s="104"/>
      <c r="H24" s="104"/>
      <c r="I24" s="104"/>
      <c r="J24" s="104"/>
      <c r="K24" s="104"/>
      <c r="L24" s="104"/>
      <c r="M24" s="104"/>
      <c r="N24" s="104"/>
      <c r="O24" s="104"/>
      <c r="P24" s="81"/>
      <c r="Q24" s="104"/>
      <c r="R24" s="105"/>
      <c r="S24" s="50"/>
      <c r="T24" s="10"/>
      <c r="U24" s="10"/>
      <c r="V24" s="10"/>
      <c r="W24" s="10"/>
      <c r="X24" s="10"/>
      <c r="Y24" s="9"/>
      <c r="Z24" s="10"/>
      <c r="AA24" s="10"/>
    </row>
    <row r="25" spans="1:27" x14ac:dyDescent="0.2">
      <c r="A25" s="79">
        <v>5</v>
      </c>
      <c r="B25" s="43" t="s">
        <v>16</v>
      </c>
      <c r="C25" s="96">
        <v>0</v>
      </c>
      <c r="D25" s="96">
        <v>0</v>
      </c>
      <c r="E25" s="96">
        <v>0</v>
      </c>
      <c r="F25" s="96">
        <v>0</v>
      </c>
      <c r="G25" s="96">
        <v>0</v>
      </c>
      <c r="H25" s="96">
        <v>0</v>
      </c>
      <c r="I25" s="96">
        <v>0</v>
      </c>
      <c r="J25" s="96">
        <v>0</v>
      </c>
      <c r="K25" s="96">
        <v>0</v>
      </c>
      <c r="L25" s="96">
        <v>0</v>
      </c>
      <c r="M25" s="96">
        <v>0</v>
      </c>
      <c r="N25" s="96">
        <v>0</v>
      </c>
      <c r="O25" s="96">
        <v>0</v>
      </c>
      <c r="P25" s="97">
        <f t="shared" ref="P25:P26" si="14">SUM(C25:O25)</f>
        <v>0</v>
      </c>
      <c r="Q25" s="99">
        <f>[17]Sheet1!$I$24</f>
        <v>307265.61</v>
      </c>
      <c r="R25" s="98">
        <f t="shared" ref="R25:R27" si="15">Q25-P25</f>
        <v>307265.61</v>
      </c>
      <c r="S25" s="89"/>
      <c r="T25" s="22">
        <v>2390701.16</v>
      </c>
      <c r="U25" s="22">
        <v>623525.27</v>
      </c>
      <c r="V25" s="22">
        <v>847666.27</v>
      </c>
      <c r="W25" s="22">
        <v>0</v>
      </c>
      <c r="X25" s="22">
        <f>SUM(T25:W25)</f>
        <v>3861892.7</v>
      </c>
      <c r="Y25" s="6">
        <v>3293356.02</v>
      </c>
      <c r="Z25" s="6">
        <f t="shared" ref="Z25:Z27" si="16">Y25-X25</f>
        <v>-568536.68000000017</v>
      </c>
      <c r="AA25" s="4"/>
    </row>
    <row r="26" spans="1:27" ht="13.5" thickBot="1" x14ac:dyDescent="0.25">
      <c r="A26" s="79">
        <v>5</v>
      </c>
      <c r="B26" s="43" t="s">
        <v>17</v>
      </c>
      <c r="C26" s="100">
        <v>0</v>
      </c>
      <c r="D26" s="100">
        <v>0</v>
      </c>
      <c r="E26" s="100">
        <v>0</v>
      </c>
      <c r="F26" s="100">
        <v>0</v>
      </c>
      <c r="G26" s="100">
        <v>0</v>
      </c>
      <c r="H26" s="100">
        <v>0</v>
      </c>
      <c r="I26" s="100">
        <v>0</v>
      </c>
      <c r="J26" s="100">
        <v>0</v>
      </c>
      <c r="K26" s="100">
        <v>0</v>
      </c>
      <c r="L26" s="100">
        <v>0</v>
      </c>
      <c r="M26" s="100">
        <v>0</v>
      </c>
      <c r="N26" s="100">
        <v>0</v>
      </c>
      <c r="O26" s="100">
        <v>0</v>
      </c>
      <c r="P26" s="101">
        <f t="shared" si="14"/>
        <v>0</v>
      </c>
      <c r="Q26" s="102">
        <f>[17]Sheet1!$I$25</f>
        <v>2659751.69</v>
      </c>
      <c r="R26" s="103">
        <f t="shared" si="15"/>
        <v>2659751.69</v>
      </c>
      <c r="S26" s="92"/>
      <c r="T26" s="24">
        <v>3059756.7</v>
      </c>
      <c r="U26" s="24">
        <v>588845.69999999995</v>
      </c>
      <c r="V26" s="24">
        <v>424693.3</v>
      </c>
      <c r="W26" s="24">
        <v>0</v>
      </c>
      <c r="X26" s="24">
        <f>SUM(T26:W26)</f>
        <v>4073295.7</v>
      </c>
      <c r="Y26" s="62">
        <v>4593173.7</v>
      </c>
      <c r="Z26" s="62">
        <f t="shared" si="16"/>
        <v>519878</v>
      </c>
      <c r="AA26" s="4"/>
    </row>
    <row r="27" spans="1:27" ht="13.5" thickTop="1" x14ac:dyDescent="0.2">
      <c r="A27" s="44"/>
      <c r="B27" s="45" t="s">
        <v>4</v>
      </c>
      <c r="C27" s="46">
        <f>1567650+1389044.22</f>
        <v>2956694.2199999997</v>
      </c>
      <c r="D27" s="46">
        <v>0</v>
      </c>
      <c r="E27" s="47">
        <v>18411.77</v>
      </c>
      <c r="F27" s="47">
        <v>0</v>
      </c>
      <c r="G27" s="47">
        <v>1324.89</v>
      </c>
      <c r="H27" s="47">
        <v>10764</v>
      </c>
      <c r="I27" s="47">
        <v>1521.15</v>
      </c>
      <c r="J27" s="47">
        <v>14812.55</v>
      </c>
      <c r="K27" s="47">
        <v>3071.37</v>
      </c>
      <c r="L27" s="47">
        <v>5539.25</v>
      </c>
      <c r="M27" s="47">
        <v>47790.05</v>
      </c>
      <c r="N27" s="47">
        <v>0</v>
      </c>
      <c r="O27" s="47">
        <f>550+45272.75+6789.8+14292.5+18337.62</f>
        <v>85242.67</v>
      </c>
      <c r="P27" s="48">
        <f>SUM(C27:O27)</f>
        <v>3145171.9199999995</v>
      </c>
      <c r="Q27" s="47">
        <f>SUM(Q25:Q26)</f>
        <v>2967017.3</v>
      </c>
      <c r="R27" s="49">
        <f t="shared" si="15"/>
        <v>-178154.61999999965</v>
      </c>
      <c r="S27" s="50"/>
      <c r="T27" s="25">
        <f t="shared" ref="T27:W27" si="17">SUM(T25:T26)</f>
        <v>5450457.8600000003</v>
      </c>
      <c r="U27" s="25">
        <f t="shared" si="17"/>
        <v>1212370.97</v>
      </c>
      <c r="V27" s="25">
        <f t="shared" si="17"/>
        <v>1272359.57</v>
      </c>
      <c r="W27" s="25">
        <f t="shared" si="17"/>
        <v>0</v>
      </c>
      <c r="X27" s="25">
        <f>SUM(T27:W27)</f>
        <v>7935188.4000000004</v>
      </c>
      <c r="Y27" s="6">
        <v>7886529.7199999997</v>
      </c>
      <c r="Z27" s="6">
        <f t="shared" si="16"/>
        <v>-48658.680000000633</v>
      </c>
      <c r="AA27" s="4"/>
    </row>
    <row r="28" spans="1:27" x14ac:dyDescent="0.2">
      <c r="A28" s="82"/>
      <c r="B28" s="83"/>
      <c r="C28" s="110"/>
      <c r="D28" s="110"/>
      <c r="E28" s="104"/>
      <c r="F28" s="104"/>
      <c r="G28" s="104"/>
      <c r="H28" s="104"/>
      <c r="I28" s="104"/>
      <c r="J28" s="104"/>
      <c r="K28" s="104"/>
      <c r="L28" s="104"/>
      <c r="M28" s="104"/>
      <c r="N28" s="104"/>
      <c r="O28" s="104"/>
      <c r="P28" s="111"/>
      <c r="Q28" s="104"/>
      <c r="R28" s="105"/>
      <c r="S28" s="50"/>
      <c r="T28" s="26"/>
      <c r="U28" s="26"/>
      <c r="V28" s="26"/>
      <c r="W28" s="26"/>
      <c r="X28" s="26"/>
      <c r="Y28" s="9"/>
      <c r="Z28" s="10"/>
      <c r="AA28" s="10"/>
    </row>
    <row r="29" spans="1:27" x14ac:dyDescent="0.2">
      <c r="A29" s="79">
        <v>6</v>
      </c>
      <c r="B29" s="43" t="s">
        <v>18</v>
      </c>
      <c r="C29" s="96">
        <v>0</v>
      </c>
      <c r="D29" s="96">
        <v>0</v>
      </c>
      <c r="E29" s="96">
        <v>0</v>
      </c>
      <c r="F29" s="96">
        <v>0</v>
      </c>
      <c r="G29" s="96">
        <v>0</v>
      </c>
      <c r="H29" s="96">
        <v>0</v>
      </c>
      <c r="I29" s="96">
        <v>0</v>
      </c>
      <c r="J29" s="96">
        <v>0</v>
      </c>
      <c r="K29" s="96">
        <v>0</v>
      </c>
      <c r="L29" s="96">
        <v>0</v>
      </c>
      <c r="M29" s="96">
        <v>0</v>
      </c>
      <c r="N29" s="96">
        <v>0</v>
      </c>
      <c r="O29" s="96">
        <v>0</v>
      </c>
      <c r="P29" s="97">
        <f t="shared" ref="P29:P31" si="18">SUM(C29:O29)</f>
        <v>0</v>
      </c>
      <c r="Q29" s="99">
        <f>[17]Sheet1!$I$28</f>
        <v>185453.93</v>
      </c>
      <c r="R29" s="98">
        <f t="shared" ref="R29:R32" si="19">Q29-P29</f>
        <v>185453.93</v>
      </c>
      <c r="S29" s="89"/>
      <c r="T29" s="22">
        <v>0</v>
      </c>
      <c r="U29" s="22">
        <v>0</v>
      </c>
      <c r="V29" s="22">
        <v>0</v>
      </c>
      <c r="W29" s="22">
        <v>0</v>
      </c>
      <c r="X29" s="22">
        <f>SUM(T29:W29)</f>
        <v>0</v>
      </c>
      <c r="Y29" s="6">
        <v>995972.54</v>
      </c>
      <c r="Z29" s="6">
        <f t="shared" ref="Z29:Z32" si="20">Y29-X29</f>
        <v>995972.54</v>
      </c>
      <c r="AA29" s="4"/>
    </row>
    <row r="30" spans="1:27" x14ac:dyDescent="0.2">
      <c r="A30" s="79">
        <v>6</v>
      </c>
      <c r="B30" s="43" t="s">
        <v>19</v>
      </c>
      <c r="C30" s="96">
        <v>0</v>
      </c>
      <c r="D30" s="96">
        <v>0</v>
      </c>
      <c r="E30" s="96">
        <v>0</v>
      </c>
      <c r="F30" s="96">
        <v>0</v>
      </c>
      <c r="G30" s="96">
        <v>0</v>
      </c>
      <c r="H30" s="96">
        <v>0</v>
      </c>
      <c r="I30" s="96">
        <v>0</v>
      </c>
      <c r="J30" s="96">
        <v>0</v>
      </c>
      <c r="K30" s="96">
        <v>0</v>
      </c>
      <c r="L30" s="96">
        <v>0</v>
      </c>
      <c r="M30" s="96">
        <v>0</v>
      </c>
      <c r="N30" s="96">
        <v>0</v>
      </c>
      <c r="O30" s="96">
        <v>0</v>
      </c>
      <c r="P30" s="97">
        <f t="shared" si="18"/>
        <v>0</v>
      </c>
      <c r="Q30" s="99">
        <f>[17]Sheet1!$I$29</f>
        <v>125063.94</v>
      </c>
      <c r="R30" s="98">
        <f t="shared" si="19"/>
        <v>125063.94</v>
      </c>
      <c r="S30" s="92"/>
      <c r="T30" s="22">
        <v>0</v>
      </c>
      <c r="U30" s="22">
        <v>0</v>
      </c>
      <c r="V30" s="22">
        <v>0</v>
      </c>
      <c r="W30" s="22">
        <v>0</v>
      </c>
      <c r="X30" s="22">
        <f>SUM(T30:W30)</f>
        <v>0</v>
      </c>
      <c r="Y30" s="6">
        <v>98871.8</v>
      </c>
      <c r="Z30" s="6">
        <f t="shared" si="20"/>
        <v>98871.8</v>
      </c>
      <c r="AA30" s="4"/>
    </row>
    <row r="31" spans="1:27" ht="13.5" thickBot="1" x14ac:dyDescent="0.25">
      <c r="A31" s="79">
        <v>6</v>
      </c>
      <c r="B31" s="43" t="s">
        <v>20</v>
      </c>
      <c r="C31" s="100">
        <v>0</v>
      </c>
      <c r="D31" s="100">
        <v>0</v>
      </c>
      <c r="E31" s="100">
        <v>0</v>
      </c>
      <c r="F31" s="100">
        <v>0</v>
      </c>
      <c r="G31" s="100">
        <v>0</v>
      </c>
      <c r="H31" s="100">
        <v>0</v>
      </c>
      <c r="I31" s="100">
        <v>0</v>
      </c>
      <c r="J31" s="100">
        <v>0</v>
      </c>
      <c r="K31" s="100">
        <v>0</v>
      </c>
      <c r="L31" s="100">
        <v>0</v>
      </c>
      <c r="M31" s="100">
        <v>0</v>
      </c>
      <c r="N31" s="100">
        <v>0</v>
      </c>
      <c r="O31" s="100">
        <v>0</v>
      </c>
      <c r="P31" s="101">
        <f t="shared" si="18"/>
        <v>0</v>
      </c>
      <c r="Q31" s="102">
        <f>[17]Sheet1!$I$30</f>
        <v>465386.14</v>
      </c>
      <c r="R31" s="103">
        <f t="shared" si="19"/>
        <v>465386.14</v>
      </c>
      <c r="S31" s="52"/>
      <c r="T31" s="24">
        <v>0</v>
      </c>
      <c r="U31" s="24">
        <v>0</v>
      </c>
      <c r="V31" s="24">
        <v>0</v>
      </c>
      <c r="W31" s="24">
        <v>0</v>
      </c>
      <c r="X31" s="24">
        <f>SUM(T31:W31)</f>
        <v>0</v>
      </c>
      <c r="Y31" s="62">
        <v>415395</v>
      </c>
      <c r="Z31" s="62">
        <f t="shared" si="20"/>
        <v>415395</v>
      </c>
      <c r="AA31" s="4"/>
    </row>
    <row r="32" spans="1:27" ht="26.25" thickTop="1" x14ac:dyDescent="0.2">
      <c r="A32" s="44"/>
      <c r="B32" s="45" t="s">
        <v>4</v>
      </c>
      <c r="C32" s="46">
        <v>628115.43000000005</v>
      </c>
      <c r="D32" s="46">
        <f>44296.03+63972.58+66759.85</f>
        <v>175028.46000000002</v>
      </c>
      <c r="E32" s="47">
        <v>0</v>
      </c>
      <c r="F32" s="47">
        <v>1685.33</v>
      </c>
      <c r="G32" s="47">
        <v>1528.43</v>
      </c>
      <c r="H32" s="47">
        <v>0</v>
      </c>
      <c r="I32" s="47">
        <v>0</v>
      </c>
      <c r="J32" s="47">
        <v>11976.93</v>
      </c>
      <c r="K32" s="47">
        <v>1958.29</v>
      </c>
      <c r="L32" s="47">
        <v>51639.33</v>
      </c>
      <c r="M32" s="47">
        <v>7795.26</v>
      </c>
      <c r="N32" s="47">
        <v>521.14</v>
      </c>
      <c r="O32" s="47">
        <f>491.14+6170.2+310.53+120+5762.5</f>
        <v>12854.369999999999</v>
      </c>
      <c r="P32" s="48">
        <f>SUM(C32:O32)</f>
        <v>893102.9700000002</v>
      </c>
      <c r="Q32" s="47">
        <f>SUM(Q29:Q31)</f>
        <v>775904.01</v>
      </c>
      <c r="R32" s="49">
        <f t="shared" si="19"/>
        <v>-117198.9600000002</v>
      </c>
      <c r="S32" s="52"/>
      <c r="T32" s="25">
        <v>1258259.8</v>
      </c>
      <c r="U32" s="25">
        <f t="shared" ref="U32" si="21">SUM(U29:U31)</f>
        <v>0</v>
      </c>
      <c r="V32" s="25">
        <v>188583.94</v>
      </c>
      <c r="W32" s="25">
        <v>55806</v>
      </c>
      <c r="X32" s="25">
        <f>SUM(T32:W32)</f>
        <v>1502649.74</v>
      </c>
      <c r="Y32" s="6">
        <v>1510239.34</v>
      </c>
      <c r="Z32" s="6">
        <f t="shared" si="20"/>
        <v>7589.6000000000931</v>
      </c>
      <c r="AA32" s="4" t="s">
        <v>71</v>
      </c>
    </row>
    <row r="33" spans="1:27" x14ac:dyDescent="0.2">
      <c r="A33" s="80"/>
      <c r="B33" s="81"/>
      <c r="C33" s="104"/>
      <c r="D33" s="104"/>
      <c r="E33" s="104"/>
      <c r="F33" s="104"/>
      <c r="G33" s="104"/>
      <c r="H33" s="104"/>
      <c r="I33" s="104"/>
      <c r="J33" s="104"/>
      <c r="K33" s="104"/>
      <c r="L33" s="104"/>
      <c r="M33" s="104"/>
      <c r="N33" s="104"/>
      <c r="O33" s="104"/>
      <c r="P33" s="81"/>
      <c r="Q33" s="104"/>
      <c r="R33" s="105"/>
      <c r="S33" s="89"/>
      <c r="T33" s="26"/>
      <c r="U33" s="26"/>
      <c r="V33" s="26"/>
      <c r="W33" s="26"/>
      <c r="X33" s="26"/>
      <c r="Y33" s="9"/>
      <c r="Z33" s="10"/>
      <c r="AA33" s="10"/>
    </row>
    <row r="34" spans="1:27" x14ac:dyDescent="0.2">
      <c r="A34" s="79">
        <v>7</v>
      </c>
      <c r="B34" s="43" t="s">
        <v>21</v>
      </c>
      <c r="C34" s="96">
        <v>0</v>
      </c>
      <c r="D34" s="96">
        <v>0</v>
      </c>
      <c r="E34" s="96">
        <v>0</v>
      </c>
      <c r="F34" s="96">
        <v>0</v>
      </c>
      <c r="G34" s="96">
        <v>0</v>
      </c>
      <c r="H34" s="96">
        <v>0</v>
      </c>
      <c r="I34" s="96">
        <v>0</v>
      </c>
      <c r="J34" s="96">
        <v>0</v>
      </c>
      <c r="K34" s="96">
        <v>0</v>
      </c>
      <c r="L34" s="96">
        <v>0</v>
      </c>
      <c r="M34" s="96">
        <v>0</v>
      </c>
      <c r="N34" s="96">
        <v>0</v>
      </c>
      <c r="O34" s="96">
        <v>0</v>
      </c>
      <c r="P34" s="97">
        <f t="shared" ref="P34:P35" si="22">SUM(C34:O34)</f>
        <v>0</v>
      </c>
      <c r="Q34" s="99">
        <f>[17]Sheet1!$I$33</f>
        <v>281066.93</v>
      </c>
      <c r="R34" s="98">
        <f t="shared" ref="R34:R36" si="23">Q34-P34</f>
        <v>281066.93</v>
      </c>
      <c r="S34" s="92"/>
      <c r="T34" s="22">
        <v>42463.82</v>
      </c>
      <c r="U34" s="22">
        <v>12143.27</v>
      </c>
      <c r="V34" s="22">
        <v>8500</v>
      </c>
      <c r="W34" s="22">
        <v>0</v>
      </c>
      <c r="X34" s="22">
        <f>SUM(T34:W34)</f>
        <v>63107.09</v>
      </c>
      <c r="Y34" s="6">
        <v>63107.03</v>
      </c>
      <c r="Z34" s="6">
        <f t="shared" ref="Z34:Z36" si="24">Y34-X34</f>
        <v>-5.9999999997671694E-2</v>
      </c>
      <c r="AA34" s="4"/>
    </row>
    <row r="35" spans="1:27" ht="13.5" thickBot="1" x14ac:dyDescent="0.25">
      <c r="A35" s="79">
        <v>7</v>
      </c>
      <c r="B35" s="43" t="s">
        <v>22</v>
      </c>
      <c r="C35" s="100">
        <v>0</v>
      </c>
      <c r="D35" s="100">
        <v>0</v>
      </c>
      <c r="E35" s="100">
        <v>0</v>
      </c>
      <c r="F35" s="100">
        <v>0</v>
      </c>
      <c r="G35" s="100">
        <v>0</v>
      </c>
      <c r="H35" s="100">
        <v>0</v>
      </c>
      <c r="I35" s="100">
        <v>0</v>
      </c>
      <c r="J35" s="100">
        <v>0</v>
      </c>
      <c r="K35" s="100">
        <v>0</v>
      </c>
      <c r="L35" s="100">
        <v>0</v>
      </c>
      <c r="M35" s="100">
        <v>0</v>
      </c>
      <c r="N35" s="100">
        <v>0</v>
      </c>
      <c r="O35" s="100">
        <v>0</v>
      </c>
      <c r="P35" s="101">
        <f t="shared" si="22"/>
        <v>0</v>
      </c>
      <c r="Q35" s="102">
        <f>[17]Sheet1!$I$34</f>
        <v>1840868.35</v>
      </c>
      <c r="R35" s="103">
        <f t="shared" si="23"/>
        <v>1840868.35</v>
      </c>
      <c r="S35" s="50"/>
      <c r="T35" s="24">
        <v>2645403</v>
      </c>
      <c r="U35" s="24">
        <v>929144</v>
      </c>
      <c r="V35" s="24">
        <v>152877</v>
      </c>
      <c r="W35" s="24">
        <v>0</v>
      </c>
      <c r="X35" s="24">
        <f>SUM(T35:W35)</f>
        <v>3727424</v>
      </c>
      <c r="Y35" s="62">
        <v>0</v>
      </c>
      <c r="Z35" s="62">
        <f t="shared" si="24"/>
        <v>-3727424</v>
      </c>
      <c r="AA35" s="4"/>
    </row>
    <row r="36" spans="1:27" s="4" customFormat="1" ht="51.75" thickTop="1" x14ac:dyDescent="0.2">
      <c r="A36" s="44"/>
      <c r="B36" s="45" t="s">
        <v>4</v>
      </c>
      <c r="C36" s="46">
        <v>1468428</v>
      </c>
      <c r="D36" s="46">
        <f>107286+197861+167674+1574</f>
        <v>474395</v>
      </c>
      <c r="E36" s="47">
        <v>0</v>
      </c>
      <c r="F36" s="47">
        <v>11010.3</v>
      </c>
      <c r="G36" s="47">
        <v>894</v>
      </c>
      <c r="H36" s="47">
        <v>12800</v>
      </c>
      <c r="I36" s="47">
        <v>4651</v>
      </c>
      <c r="J36" s="47">
        <v>10220</v>
      </c>
      <c r="K36" s="47">
        <v>3322</v>
      </c>
      <c r="L36" s="47">
        <v>59640.63</v>
      </c>
      <c r="M36" s="47">
        <v>22383.8</v>
      </c>
      <c r="N36" s="47">
        <v>0</v>
      </c>
      <c r="O36" s="47">
        <f>7506.14+6000+971+5000+12319.04+9490</f>
        <v>41286.18</v>
      </c>
      <c r="P36" s="48">
        <f>SUM(C36:O36)</f>
        <v>2109030.91</v>
      </c>
      <c r="Q36" s="47">
        <f>SUM(Q34:Q35)</f>
        <v>2121935.2800000003</v>
      </c>
      <c r="R36" s="49">
        <f t="shared" si="23"/>
        <v>12904.370000000112</v>
      </c>
      <c r="S36" s="50"/>
      <c r="T36" s="25">
        <f t="shared" ref="T36:W36" si="25">SUM(T34:T35)</f>
        <v>2687866.82</v>
      </c>
      <c r="U36" s="25">
        <f t="shared" si="25"/>
        <v>941287.27</v>
      </c>
      <c r="V36" s="25">
        <f t="shared" si="25"/>
        <v>161377</v>
      </c>
      <c r="W36" s="25">
        <f t="shared" si="25"/>
        <v>0</v>
      </c>
      <c r="X36" s="25">
        <f>SUM(T36:W36)</f>
        <v>3790531.09</v>
      </c>
      <c r="Y36" s="6">
        <v>63107.03</v>
      </c>
      <c r="Z36" s="6">
        <f t="shared" si="24"/>
        <v>-3727424.06</v>
      </c>
      <c r="AA36" s="4" t="s">
        <v>72</v>
      </c>
    </row>
    <row r="37" spans="1:27" x14ac:dyDescent="0.2">
      <c r="A37" s="80"/>
      <c r="B37" s="81"/>
      <c r="C37" s="104"/>
      <c r="D37" s="104"/>
      <c r="E37" s="104"/>
      <c r="F37" s="104"/>
      <c r="G37" s="104"/>
      <c r="H37" s="104"/>
      <c r="I37" s="104"/>
      <c r="J37" s="104"/>
      <c r="K37" s="104"/>
      <c r="L37" s="104"/>
      <c r="M37" s="104"/>
      <c r="N37" s="104"/>
      <c r="O37" s="104"/>
      <c r="P37" s="81"/>
      <c r="Q37" s="104"/>
      <c r="R37" s="105"/>
      <c r="S37" s="50"/>
      <c r="T37" s="26"/>
      <c r="U37" s="26"/>
      <c r="V37" s="26"/>
      <c r="W37" s="26"/>
      <c r="X37" s="26"/>
      <c r="Y37" s="9"/>
      <c r="Z37" s="10"/>
      <c r="AA37" s="10"/>
    </row>
    <row r="38" spans="1:27" x14ac:dyDescent="0.2">
      <c r="A38" s="79">
        <v>8</v>
      </c>
      <c r="B38" s="43" t="s">
        <v>23</v>
      </c>
      <c r="C38" s="96">
        <v>0</v>
      </c>
      <c r="D38" s="96">
        <v>0</v>
      </c>
      <c r="E38" s="96">
        <v>0</v>
      </c>
      <c r="F38" s="96">
        <v>0</v>
      </c>
      <c r="G38" s="96">
        <v>0</v>
      </c>
      <c r="H38" s="96">
        <v>0</v>
      </c>
      <c r="I38" s="96">
        <v>0</v>
      </c>
      <c r="J38" s="96">
        <v>0</v>
      </c>
      <c r="K38" s="96">
        <v>0</v>
      </c>
      <c r="L38" s="96">
        <v>0</v>
      </c>
      <c r="M38" s="96">
        <v>0</v>
      </c>
      <c r="N38" s="96">
        <v>0</v>
      </c>
      <c r="O38" s="96">
        <v>0</v>
      </c>
      <c r="P38" s="97">
        <f t="shared" ref="P38:P41" si="26">SUM(C38:O38)</f>
        <v>0</v>
      </c>
      <c r="Q38" s="99">
        <f>[17]Sheet1!$I$37</f>
        <v>91578.05</v>
      </c>
      <c r="R38" s="98">
        <f t="shared" ref="R38:R42" si="27">Q38-P38</f>
        <v>91578.05</v>
      </c>
      <c r="S38" s="50"/>
      <c r="T38" s="22">
        <v>0</v>
      </c>
      <c r="U38" s="22">
        <v>0</v>
      </c>
      <c r="V38" s="22">
        <v>0</v>
      </c>
      <c r="W38" s="22">
        <v>0</v>
      </c>
      <c r="X38" s="22">
        <f>SUM(T38:W38)</f>
        <v>0</v>
      </c>
      <c r="Y38" s="6">
        <v>0</v>
      </c>
      <c r="Z38" s="6">
        <f t="shared" ref="Z38:Z42" si="28">Y38-X38</f>
        <v>0</v>
      </c>
      <c r="AA38" s="4"/>
    </row>
    <row r="39" spans="1:27" x14ac:dyDescent="0.2">
      <c r="A39" s="79">
        <v>8</v>
      </c>
      <c r="B39" s="43" t="s">
        <v>24</v>
      </c>
      <c r="C39" s="96">
        <v>0</v>
      </c>
      <c r="D39" s="96">
        <v>0</v>
      </c>
      <c r="E39" s="96">
        <v>0</v>
      </c>
      <c r="F39" s="96">
        <v>0</v>
      </c>
      <c r="G39" s="96">
        <v>0</v>
      </c>
      <c r="H39" s="96">
        <v>0</v>
      </c>
      <c r="I39" s="96">
        <v>0</v>
      </c>
      <c r="J39" s="96">
        <v>0</v>
      </c>
      <c r="K39" s="96">
        <v>0</v>
      </c>
      <c r="L39" s="96">
        <v>0</v>
      </c>
      <c r="M39" s="96">
        <v>0</v>
      </c>
      <c r="N39" s="96">
        <v>0</v>
      </c>
      <c r="O39" s="96">
        <v>0</v>
      </c>
      <c r="P39" s="97">
        <f t="shared" si="26"/>
        <v>0</v>
      </c>
      <c r="Q39" s="99">
        <f>[17]Sheet1!$I$38</f>
        <v>326566.09999999998</v>
      </c>
      <c r="R39" s="98">
        <f t="shared" si="27"/>
        <v>326566.09999999998</v>
      </c>
      <c r="S39" s="93"/>
      <c r="T39" s="22">
        <v>0</v>
      </c>
      <c r="U39" s="22">
        <v>0</v>
      </c>
      <c r="V39" s="22">
        <v>0</v>
      </c>
      <c r="W39" s="22">
        <v>0</v>
      </c>
      <c r="X39" s="22">
        <f>SUM(T39:W39)</f>
        <v>0</v>
      </c>
      <c r="Y39" s="6">
        <v>0</v>
      </c>
      <c r="Z39" s="6">
        <f t="shared" si="28"/>
        <v>0</v>
      </c>
      <c r="AA39" s="4"/>
    </row>
    <row r="40" spans="1:27" x14ac:dyDescent="0.2">
      <c r="A40" s="79">
        <v>8</v>
      </c>
      <c r="B40" s="43" t="s">
        <v>25</v>
      </c>
      <c r="C40" s="96">
        <v>0</v>
      </c>
      <c r="D40" s="96">
        <v>0</v>
      </c>
      <c r="E40" s="96">
        <v>0</v>
      </c>
      <c r="F40" s="96">
        <v>0</v>
      </c>
      <c r="G40" s="96">
        <v>0</v>
      </c>
      <c r="H40" s="96">
        <v>0</v>
      </c>
      <c r="I40" s="96">
        <v>0</v>
      </c>
      <c r="J40" s="96">
        <v>0</v>
      </c>
      <c r="K40" s="96">
        <v>0</v>
      </c>
      <c r="L40" s="96">
        <v>0</v>
      </c>
      <c r="M40" s="96">
        <v>0</v>
      </c>
      <c r="N40" s="96">
        <v>0</v>
      </c>
      <c r="O40" s="96">
        <v>0</v>
      </c>
      <c r="P40" s="97">
        <f t="shared" si="26"/>
        <v>0</v>
      </c>
      <c r="Q40" s="99">
        <f>[17]Sheet1!$I$39</f>
        <v>255602.96</v>
      </c>
      <c r="R40" s="98">
        <f t="shared" si="27"/>
        <v>255602.96</v>
      </c>
      <c r="S40" s="92"/>
      <c r="T40" s="22">
        <v>0</v>
      </c>
      <c r="U40" s="22">
        <v>0</v>
      </c>
      <c r="V40" s="22">
        <v>0</v>
      </c>
      <c r="W40" s="22">
        <v>0</v>
      </c>
      <c r="X40" s="22">
        <f>SUM(T40:W40)</f>
        <v>0</v>
      </c>
      <c r="Y40" s="6">
        <v>0</v>
      </c>
      <c r="Z40" s="6">
        <f t="shared" si="28"/>
        <v>0</v>
      </c>
      <c r="AA40" s="4"/>
    </row>
    <row r="41" spans="1:27" ht="13.5" thickBot="1" x14ac:dyDescent="0.25">
      <c r="A41" s="79">
        <v>8</v>
      </c>
      <c r="B41" s="43" t="s">
        <v>26</v>
      </c>
      <c r="C41" s="100">
        <v>0</v>
      </c>
      <c r="D41" s="100">
        <v>0</v>
      </c>
      <c r="E41" s="100">
        <v>0</v>
      </c>
      <c r="F41" s="100">
        <v>0</v>
      </c>
      <c r="G41" s="100">
        <v>0</v>
      </c>
      <c r="H41" s="100">
        <v>0</v>
      </c>
      <c r="I41" s="100">
        <v>0</v>
      </c>
      <c r="J41" s="100">
        <v>0</v>
      </c>
      <c r="K41" s="100">
        <v>0</v>
      </c>
      <c r="L41" s="100">
        <v>0</v>
      </c>
      <c r="M41" s="100">
        <v>0</v>
      </c>
      <c r="N41" s="100">
        <v>0</v>
      </c>
      <c r="O41" s="100">
        <v>0</v>
      </c>
      <c r="P41" s="101">
        <f t="shared" si="26"/>
        <v>0</v>
      </c>
      <c r="Q41" s="102">
        <f>[17]Sheet1!$I$40</f>
        <v>166083</v>
      </c>
      <c r="R41" s="103">
        <f t="shared" si="27"/>
        <v>166083</v>
      </c>
      <c r="S41" s="52"/>
      <c r="T41" s="24">
        <v>0</v>
      </c>
      <c r="U41" s="24">
        <v>0</v>
      </c>
      <c r="V41" s="24">
        <v>0</v>
      </c>
      <c r="W41" s="24">
        <v>0</v>
      </c>
      <c r="X41" s="24">
        <f>SUM(T41:W41)</f>
        <v>0</v>
      </c>
      <c r="Y41" s="62">
        <v>0</v>
      </c>
      <c r="Z41" s="62">
        <f t="shared" si="28"/>
        <v>0</v>
      </c>
      <c r="AA41" s="4"/>
    </row>
    <row r="42" spans="1:27" s="4" customFormat="1" ht="51.75" thickTop="1" x14ac:dyDescent="0.2">
      <c r="A42" s="51"/>
      <c r="B42" s="45" t="s">
        <v>4</v>
      </c>
      <c r="C42" s="46">
        <v>494813.47</v>
      </c>
      <c r="D42" s="46">
        <f>27751.53+40009.1+41309.26+1047.73</f>
        <v>110117.62000000001</v>
      </c>
      <c r="E42" s="47">
        <v>0</v>
      </c>
      <c r="F42" s="47">
        <v>18603.939999999999</v>
      </c>
      <c r="G42" s="47">
        <v>3069.01</v>
      </c>
      <c r="H42" s="47">
        <v>2293</v>
      </c>
      <c r="I42" s="47">
        <v>0</v>
      </c>
      <c r="J42" s="47">
        <v>4221</v>
      </c>
      <c r="K42" s="47">
        <v>3569.82</v>
      </c>
      <c r="L42" s="47">
        <v>34307.01</v>
      </c>
      <c r="M42" s="47">
        <v>16015.18</v>
      </c>
      <c r="N42" s="47">
        <v>507</v>
      </c>
      <c r="O42" s="47">
        <f>11574.94+6936.05+2116.19+4987.15+2585</f>
        <v>28199.33</v>
      </c>
      <c r="P42" s="48">
        <f>SUM(C42:O42)</f>
        <v>715716.37999999989</v>
      </c>
      <c r="Q42" s="47">
        <f>SUM(Q38:Q41)</f>
        <v>839830.11</v>
      </c>
      <c r="R42" s="49">
        <f t="shared" si="27"/>
        <v>124113.7300000001</v>
      </c>
      <c r="S42" s="52"/>
      <c r="T42" s="25">
        <v>152296181</v>
      </c>
      <c r="U42" s="25">
        <v>449175.9</v>
      </c>
      <c r="V42" s="25">
        <v>264668.94</v>
      </c>
      <c r="W42" s="25">
        <f t="shared" ref="W42" si="29">SUM(W38:W41)</f>
        <v>0</v>
      </c>
      <c r="X42" s="25">
        <f>SUM(T42:W42)</f>
        <v>153010025.84</v>
      </c>
      <c r="Y42" s="6">
        <v>2187822.6100000003</v>
      </c>
      <c r="Z42" s="6">
        <f t="shared" si="28"/>
        <v>-150822203.22999999</v>
      </c>
      <c r="AA42" s="4" t="s">
        <v>73</v>
      </c>
    </row>
    <row r="43" spans="1:27" x14ac:dyDescent="0.2">
      <c r="A43" s="82"/>
      <c r="B43" s="83"/>
      <c r="C43" s="112"/>
      <c r="D43" s="112"/>
      <c r="E43" s="104"/>
      <c r="F43" s="104"/>
      <c r="G43" s="104"/>
      <c r="H43" s="104"/>
      <c r="I43" s="104"/>
      <c r="J43" s="104"/>
      <c r="K43" s="104"/>
      <c r="L43" s="104"/>
      <c r="M43" s="104"/>
      <c r="N43" s="104"/>
      <c r="O43" s="104"/>
      <c r="P43" s="111"/>
      <c r="Q43" s="104"/>
      <c r="R43" s="105"/>
      <c r="S43" s="93"/>
      <c r="T43" s="26"/>
      <c r="U43" s="26"/>
      <c r="V43" s="26"/>
      <c r="W43" s="26"/>
      <c r="X43" s="26"/>
      <c r="Y43" s="9"/>
      <c r="Z43" s="10"/>
      <c r="AA43" s="10"/>
    </row>
    <row r="44" spans="1:27" x14ac:dyDescent="0.2">
      <c r="A44" s="79">
        <v>9</v>
      </c>
      <c r="B44" s="43" t="s">
        <v>27</v>
      </c>
      <c r="C44" s="96">
        <f>534162+26000</f>
        <v>560162</v>
      </c>
      <c r="D44" s="96">
        <v>197415</v>
      </c>
      <c r="E44" s="96">
        <v>19507</v>
      </c>
      <c r="F44" s="96">
        <v>575</v>
      </c>
      <c r="G44" s="96">
        <v>521</v>
      </c>
      <c r="H44" s="96">
        <v>29923</v>
      </c>
      <c r="I44" s="96">
        <v>3195</v>
      </c>
      <c r="J44" s="96">
        <v>7921</v>
      </c>
      <c r="K44" s="96">
        <v>767</v>
      </c>
      <c r="L44" s="96">
        <v>87669</v>
      </c>
      <c r="M44" s="96">
        <v>7561</v>
      </c>
      <c r="N44" s="96">
        <v>0</v>
      </c>
      <c r="O44" s="96">
        <f>4221+19310+9641+3553</f>
        <v>36725</v>
      </c>
      <c r="P44" s="97">
        <f t="shared" ref="P44:P45" si="30">SUM(C44:O44)</f>
        <v>951941</v>
      </c>
      <c r="Q44" s="99">
        <f>[17]Sheet1!$I$43</f>
        <v>953718.36</v>
      </c>
      <c r="R44" s="98">
        <f t="shared" ref="R44:R46" si="31">Q44-P44</f>
        <v>1777.359999999986</v>
      </c>
      <c r="S44" s="94"/>
      <c r="T44" s="22">
        <v>1233670.5</v>
      </c>
      <c r="U44" s="22">
        <v>455262.38</v>
      </c>
      <c r="V44" s="22">
        <v>98943.28</v>
      </c>
      <c r="W44" s="22">
        <v>0</v>
      </c>
      <c r="X44" s="22">
        <f>SUM(T44:W44)</f>
        <v>1787876.16</v>
      </c>
      <c r="Y44" s="6">
        <v>1834176.18</v>
      </c>
      <c r="Z44" s="6">
        <f t="shared" ref="Z44:Z46" si="32">Y44-X44</f>
        <v>46300.020000000019</v>
      </c>
      <c r="AA44" s="4"/>
    </row>
    <row r="45" spans="1:27" ht="13.5" thickBot="1" x14ac:dyDescent="0.25">
      <c r="A45" s="79">
        <v>9</v>
      </c>
      <c r="B45" s="43" t="s">
        <v>28</v>
      </c>
      <c r="C45" s="100">
        <v>2707141</v>
      </c>
      <c r="D45" s="100">
        <v>1052861</v>
      </c>
      <c r="E45" s="100">
        <v>8939</v>
      </c>
      <c r="F45" s="100">
        <v>15918</v>
      </c>
      <c r="G45" s="100">
        <v>9214</v>
      </c>
      <c r="H45" s="100">
        <v>0</v>
      </c>
      <c r="I45" s="100">
        <v>0</v>
      </c>
      <c r="J45" s="100">
        <v>38804</v>
      </c>
      <c r="K45" s="100">
        <v>12955</v>
      </c>
      <c r="L45" s="100">
        <v>341709</v>
      </c>
      <c r="M45" s="100">
        <v>26054</v>
      </c>
      <c r="N45" s="100">
        <v>19960</v>
      </c>
      <c r="O45" s="100">
        <f>23235+48646+29948+18284</f>
        <v>120113</v>
      </c>
      <c r="P45" s="101">
        <f t="shared" si="30"/>
        <v>4353668</v>
      </c>
      <c r="Q45" s="102">
        <f>[17]Sheet1!$I$44</f>
        <v>4320875.3099999996</v>
      </c>
      <c r="R45" s="103">
        <f t="shared" si="31"/>
        <v>-32792.69000000041</v>
      </c>
      <c r="S45" s="50"/>
      <c r="T45" s="24">
        <v>5549911.2199999997</v>
      </c>
      <c r="U45" s="24">
        <v>2133079.59</v>
      </c>
      <c r="V45" s="24">
        <v>569570.61</v>
      </c>
      <c r="W45" s="24">
        <v>0</v>
      </c>
      <c r="X45" s="24">
        <f>SUM(T45:W45)</f>
        <v>8252561.4199999999</v>
      </c>
      <c r="Y45" s="62">
        <v>8600738.3099999987</v>
      </c>
      <c r="Z45" s="62">
        <f t="shared" si="32"/>
        <v>348176.88999999873</v>
      </c>
      <c r="AA45" s="4"/>
    </row>
    <row r="46" spans="1:27" ht="13.5" thickTop="1" x14ac:dyDescent="0.2">
      <c r="A46" s="44"/>
      <c r="B46" s="45" t="s">
        <v>4</v>
      </c>
      <c r="C46" s="46">
        <f>SUM(C44:C45)</f>
        <v>3267303</v>
      </c>
      <c r="D46" s="46">
        <f>SUM(D44:D45)</f>
        <v>1250276</v>
      </c>
      <c r="E46" s="46">
        <f>SUM(E44:E45)</f>
        <v>28446</v>
      </c>
      <c r="F46" s="46">
        <f t="shared" ref="F46:O46" si="33">SUM(F44:F45)</f>
        <v>16493</v>
      </c>
      <c r="G46" s="46">
        <f t="shared" si="33"/>
        <v>9735</v>
      </c>
      <c r="H46" s="46">
        <f t="shared" si="33"/>
        <v>29923</v>
      </c>
      <c r="I46" s="46">
        <f t="shared" si="33"/>
        <v>3195</v>
      </c>
      <c r="J46" s="46">
        <f t="shared" si="33"/>
        <v>46725</v>
      </c>
      <c r="K46" s="46">
        <f t="shared" si="33"/>
        <v>13722</v>
      </c>
      <c r="L46" s="46">
        <f t="shared" si="33"/>
        <v>429378</v>
      </c>
      <c r="M46" s="46">
        <f t="shared" si="33"/>
        <v>33615</v>
      </c>
      <c r="N46" s="46">
        <f t="shared" si="33"/>
        <v>19960</v>
      </c>
      <c r="O46" s="46">
        <f t="shared" si="33"/>
        <v>156838</v>
      </c>
      <c r="P46" s="48">
        <f>SUM(C46:O46)</f>
        <v>5305609</v>
      </c>
      <c r="Q46" s="47">
        <f>SUM(Q44:Q45)</f>
        <v>5274593.67</v>
      </c>
      <c r="R46" s="49">
        <f t="shared" si="31"/>
        <v>-31015.330000000075</v>
      </c>
      <c r="S46" s="50"/>
      <c r="T46" s="25">
        <f t="shared" ref="T46:W46" si="34">SUM(T44:T45)</f>
        <v>6783581.7199999997</v>
      </c>
      <c r="U46" s="25">
        <f t="shared" si="34"/>
        <v>2588341.9699999997</v>
      </c>
      <c r="V46" s="25">
        <f t="shared" si="34"/>
        <v>668513.89</v>
      </c>
      <c r="W46" s="25">
        <f t="shared" si="34"/>
        <v>0</v>
      </c>
      <c r="X46" s="25">
        <f>SUM(T46:W46)</f>
        <v>10040437.58</v>
      </c>
      <c r="Y46" s="6">
        <v>10434914.489999998</v>
      </c>
      <c r="Z46" s="6">
        <f t="shared" si="32"/>
        <v>394476.90999999829</v>
      </c>
      <c r="AA46" s="4"/>
    </row>
    <row r="47" spans="1:27" x14ac:dyDescent="0.2">
      <c r="A47" s="82"/>
      <c r="B47" s="83"/>
      <c r="C47" s="112"/>
      <c r="D47" s="112"/>
      <c r="E47" s="104"/>
      <c r="F47" s="104"/>
      <c r="G47" s="104"/>
      <c r="H47" s="104"/>
      <c r="I47" s="104"/>
      <c r="J47" s="104"/>
      <c r="K47" s="104"/>
      <c r="L47" s="104"/>
      <c r="M47" s="104"/>
      <c r="N47" s="104"/>
      <c r="O47" s="104"/>
      <c r="P47" s="111"/>
      <c r="Q47" s="104"/>
      <c r="R47" s="105"/>
      <c r="S47" s="93"/>
      <c r="T47" s="10"/>
      <c r="U47" s="10"/>
      <c r="V47" s="10"/>
      <c r="W47" s="10"/>
      <c r="X47" s="10"/>
      <c r="Y47" s="9"/>
      <c r="Z47" s="10"/>
      <c r="AA47" s="10"/>
    </row>
    <row r="48" spans="1:27" x14ac:dyDescent="0.2">
      <c r="A48" s="79">
        <v>10</v>
      </c>
      <c r="B48" s="43" t="s">
        <v>29</v>
      </c>
      <c r="C48" s="96">
        <v>0</v>
      </c>
      <c r="D48" s="96">
        <v>0</v>
      </c>
      <c r="E48" s="96">
        <v>0</v>
      </c>
      <c r="F48" s="96">
        <v>0</v>
      </c>
      <c r="G48" s="96">
        <v>0</v>
      </c>
      <c r="H48" s="96">
        <v>0</v>
      </c>
      <c r="I48" s="96">
        <v>0</v>
      </c>
      <c r="J48" s="96">
        <v>0</v>
      </c>
      <c r="K48" s="96">
        <v>0</v>
      </c>
      <c r="L48" s="96">
        <v>0</v>
      </c>
      <c r="M48" s="96">
        <v>0</v>
      </c>
      <c r="N48" s="96">
        <v>0</v>
      </c>
      <c r="O48" s="96">
        <v>0</v>
      </c>
      <c r="P48" s="97">
        <f t="shared" ref="P48:P49" si="35">SUM(C48:O48)</f>
        <v>0</v>
      </c>
      <c r="Q48" s="99">
        <f>[17]Sheet1!$I$47</f>
        <v>815759.64</v>
      </c>
      <c r="R48" s="98">
        <f t="shared" ref="R48:R50" si="36">Q48-P48</f>
        <v>815759.64</v>
      </c>
      <c r="S48" s="50"/>
      <c r="T48" s="22">
        <v>2010773.31</v>
      </c>
      <c r="U48" s="22">
        <v>676601.44</v>
      </c>
      <c r="V48" s="22">
        <v>598030.37</v>
      </c>
      <c r="W48" s="22">
        <v>0</v>
      </c>
      <c r="X48" s="22">
        <f>SUM(T48:W48)</f>
        <v>3285405.12</v>
      </c>
      <c r="Y48" s="6">
        <v>2682916.84</v>
      </c>
      <c r="Z48" s="6">
        <f t="shared" ref="Z48:Z50" si="37">Y48-X48</f>
        <v>-602488.28000000026</v>
      </c>
      <c r="AA48" s="4"/>
    </row>
    <row r="49" spans="1:27" ht="13.5" thickBot="1" x14ac:dyDescent="0.25">
      <c r="A49" s="79">
        <v>10</v>
      </c>
      <c r="B49" s="43" t="s">
        <v>30</v>
      </c>
      <c r="C49" s="100">
        <v>0</v>
      </c>
      <c r="D49" s="100">
        <v>0</v>
      </c>
      <c r="E49" s="100">
        <v>0</v>
      </c>
      <c r="F49" s="100">
        <v>0</v>
      </c>
      <c r="G49" s="100">
        <v>0</v>
      </c>
      <c r="H49" s="100">
        <v>0</v>
      </c>
      <c r="I49" s="100">
        <v>0</v>
      </c>
      <c r="J49" s="100">
        <v>0</v>
      </c>
      <c r="K49" s="100">
        <v>0</v>
      </c>
      <c r="L49" s="100">
        <v>0</v>
      </c>
      <c r="M49" s="100">
        <v>0</v>
      </c>
      <c r="N49" s="100">
        <v>0</v>
      </c>
      <c r="O49" s="100">
        <v>0</v>
      </c>
      <c r="P49" s="101">
        <f t="shared" si="35"/>
        <v>0</v>
      </c>
      <c r="Q49" s="102">
        <f>[17]Sheet1!$I$48</f>
        <v>389322.11</v>
      </c>
      <c r="R49" s="103">
        <f t="shared" si="36"/>
        <v>389322.11</v>
      </c>
      <c r="S49" s="50"/>
      <c r="T49" s="24">
        <v>579286.64</v>
      </c>
      <c r="U49" s="24">
        <v>196527.69</v>
      </c>
      <c r="V49" s="24">
        <v>61324.3</v>
      </c>
      <c r="W49" s="24">
        <v>25427</v>
      </c>
      <c r="X49" s="24">
        <f>SUM(T49:W49)</f>
        <v>862565.63000000012</v>
      </c>
      <c r="Y49" s="62">
        <v>812149.44</v>
      </c>
      <c r="Z49" s="62">
        <f t="shared" si="37"/>
        <v>-50416.190000000177</v>
      </c>
      <c r="AA49" s="4"/>
    </row>
    <row r="50" spans="1:27" ht="13.5" thickTop="1" x14ac:dyDescent="0.2">
      <c r="A50" s="44"/>
      <c r="B50" s="45" t="s">
        <v>4</v>
      </c>
      <c r="C50" s="106">
        <v>760722.64</v>
      </c>
      <c r="D50" s="106">
        <f>56899.39+92227.15+81625.15+5006</f>
        <v>235757.68999999997</v>
      </c>
      <c r="E50" s="106">
        <v>0</v>
      </c>
      <c r="F50" s="106">
        <v>0</v>
      </c>
      <c r="G50" s="106">
        <v>0</v>
      </c>
      <c r="H50" s="106">
        <v>0</v>
      </c>
      <c r="I50" s="106">
        <v>0</v>
      </c>
      <c r="J50" s="106">
        <v>0</v>
      </c>
      <c r="K50" s="106">
        <v>8043.3</v>
      </c>
      <c r="L50" s="106">
        <v>40181.410000000003</v>
      </c>
      <c r="M50" s="106">
        <v>9099.77</v>
      </c>
      <c r="N50" s="106">
        <v>0</v>
      </c>
      <c r="O50" s="106">
        <f>15054.91+9599.29</f>
        <v>24654.2</v>
      </c>
      <c r="P50" s="48">
        <f>SUM(C50:O50)</f>
        <v>1078459.01</v>
      </c>
      <c r="Q50" s="47">
        <f>SUM(Q48:Q49)</f>
        <v>1205081.75</v>
      </c>
      <c r="R50" s="49">
        <f t="shared" si="36"/>
        <v>126622.73999999999</v>
      </c>
      <c r="S50" s="50"/>
      <c r="T50" s="25">
        <f t="shared" ref="T50:W50" si="38">SUM(T48:T49)</f>
        <v>2590059.9500000002</v>
      </c>
      <c r="U50" s="25">
        <f t="shared" si="38"/>
        <v>873129.12999999989</v>
      </c>
      <c r="V50" s="25">
        <f t="shared" si="38"/>
        <v>659354.67000000004</v>
      </c>
      <c r="W50" s="25">
        <f t="shared" si="38"/>
        <v>25427</v>
      </c>
      <c r="X50" s="25">
        <f>SUM(T50:W50)</f>
        <v>4147970.75</v>
      </c>
      <c r="Y50" s="6">
        <v>3495066.2800000003</v>
      </c>
      <c r="Z50" s="6">
        <f t="shared" si="37"/>
        <v>-652904.46999999974</v>
      </c>
      <c r="AA50" s="4"/>
    </row>
    <row r="51" spans="1:27" x14ac:dyDescent="0.2">
      <c r="A51" s="82"/>
      <c r="B51" s="83"/>
      <c r="C51" s="110"/>
      <c r="D51" s="110"/>
      <c r="E51" s="104"/>
      <c r="F51" s="104"/>
      <c r="G51" s="104"/>
      <c r="H51" s="104"/>
      <c r="I51" s="104"/>
      <c r="J51" s="104"/>
      <c r="K51" s="104"/>
      <c r="L51" s="104"/>
      <c r="M51" s="104"/>
      <c r="N51" s="104"/>
      <c r="O51" s="104"/>
      <c r="P51" s="111"/>
      <c r="Q51" s="104"/>
      <c r="R51" s="105"/>
      <c r="S51" s="50"/>
      <c r="T51" s="10"/>
      <c r="U51" s="10"/>
      <c r="V51" s="10"/>
      <c r="W51" s="10"/>
      <c r="X51" s="10"/>
      <c r="Y51" s="9"/>
      <c r="Z51" s="10"/>
      <c r="AA51" s="10"/>
    </row>
    <row r="52" spans="1:27" ht="38.25" x14ac:dyDescent="0.2">
      <c r="A52" s="79">
        <v>11</v>
      </c>
      <c r="B52" s="43" t="s">
        <v>31</v>
      </c>
      <c r="C52" s="96">
        <v>0</v>
      </c>
      <c r="D52" s="96">
        <v>0</v>
      </c>
      <c r="E52" s="96">
        <v>0</v>
      </c>
      <c r="F52" s="96">
        <v>0</v>
      </c>
      <c r="G52" s="96">
        <v>0</v>
      </c>
      <c r="H52" s="96">
        <v>0</v>
      </c>
      <c r="I52" s="96">
        <v>0</v>
      </c>
      <c r="J52" s="96">
        <v>0</v>
      </c>
      <c r="K52" s="96">
        <v>0</v>
      </c>
      <c r="L52" s="96">
        <v>0</v>
      </c>
      <c r="M52" s="96">
        <v>0</v>
      </c>
      <c r="N52" s="96">
        <v>0</v>
      </c>
      <c r="O52" s="96">
        <v>0</v>
      </c>
      <c r="P52" s="97">
        <f t="shared" ref="P52:P55" si="39">SUM(C52:O52)</f>
        <v>0</v>
      </c>
      <c r="Q52" s="99">
        <f>[17]Sheet1!$I$51</f>
        <v>96184.84</v>
      </c>
      <c r="R52" s="98">
        <f t="shared" ref="R52:R56" si="40">Q52-P52</f>
        <v>96184.84</v>
      </c>
      <c r="S52" s="93"/>
      <c r="T52" s="22">
        <v>0</v>
      </c>
      <c r="U52" s="22">
        <v>0</v>
      </c>
      <c r="V52" s="22">
        <v>0</v>
      </c>
      <c r="W52" s="22">
        <v>0</v>
      </c>
      <c r="X52" s="22">
        <f>SUM(T52:W52)</f>
        <v>0</v>
      </c>
      <c r="Y52" s="6">
        <v>0</v>
      </c>
      <c r="Z52" s="6">
        <f t="shared" ref="Z52:Z56" si="41">Y52-X52</f>
        <v>0</v>
      </c>
      <c r="AA52" s="4" t="s">
        <v>74</v>
      </c>
    </row>
    <row r="53" spans="1:27" x14ac:dyDescent="0.2">
      <c r="A53" s="79">
        <v>11</v>
      </c>
      <c r="B53" s="43" t="s">
        <v>32</v>
      </c>
      <c r="C53" s="96">
        <v>0</v>
      </c>
      <c r="D53" s="96">
        <v>0</v>
      </c>
      <c r="E53" s="96">
        <v>0</v>
      </c>
      <c r="F53" s="96">
        <v>0</v>
      </c>
      <c r="G53" s="96">
        <v>0</v>
      </c>
      <c r="H53" s="96">
        <v>0</v>
      </c>
      <c r="I53" s="96">
        <v>0</v>
      </c>
      <c r="J53" s="96">
        <v>0</v>
      </c>
      <c r="K53" s="96">
        <v>0</v>
      </c>
      <c r="L53" s="96">
        <v>0</v>
      </c>
      <c r="M53" s="96">
        <v>0</v>
      </c>
      <c r="N53" s="96">
        <v>0</v>
      </c>
      <c r="O53" s="96">
        <v>0</v>
      </c>
      <c r="P53" s="97">
        <f t="shared" si="39"/>
        <v>0</v>
      </c>
      <c r="Q53" s="99">
        <f>[17]Sheet1!$I$52</f>
        <v>1212767.33</v>
      </c>
      <c r="R53" s="98">
        <f t="shared" si="40"/>
        <v>1212767.33</v>
      </c>
      <c r="S53" s="50"/>
      <c r="T53" s="22">
        <v>0</v>
      </c>
      <c r="U53" s="22">
        <v>0</v>
      </c>
      <c r="V53" s="22">
        <v>0</v>
      </c>
      <c r="W53" s="22">
        <v>0</v>
      </c>
      <c r="X53" s="22">
        <f>SUM(T53:W53)</f>
        <v>0</v>
      </c>
      <c r="Y53" s="6">
        <v>0</v>
      </c>
      <c r="Z53" s="6">
        <f t="shared" si="41"/>
        <v>0</v>
      </c>
      <c r="AA53" s="4"/>
    </row>
    <row r="54" spans="1:27" x14ac:dyDescent="0.2">
      <c r="A54" s="79">
        <v>11</v>
      </c>
      <c r="B54" s="43" t="s">
        <v>33</v>
      </c>
      <c r="C54" s="96">
        <v>0</v>
      </c>
      <c r="D54" s="96">
        <v>0</v>
      </c>
      <c r="E54" s="96">
        <v>0</v>
      </c>
      <c r="F54" s="96">
        <v>0</v>
      </c>
      <c r="G54" s="96">
        <v>0</v>
      </c>
      <c r="H54" s="96">
        <v>0</v>
      </c>
      <c r="I54" s="96">
        <v>0</v>
      </c>
      <c r="J54" s="96">
        <v>0</v>
      </c>
      <c r="K54" s="96">
        <v>0</v>
      </c>
      <c r="L54" s="96">
        <v>0</v>
      </c>
      <c r="M54" s="96">
        <v>0</v>
      </c>
      <c r="N54" s="96">
        <v>0</v>
      </c>
      <c r="O54" s="96">
        <v>0</v>
      </c>
      <c r="P54" s="97">
        <f t="shared" si="39"/>
        <v>0</v>
      </c>
      <c r="Q54" s="99">
        <f>[17]Sheet1!$I$53</f>
        <v>49485.03</v>
      </c>
      <c r="R54" s="98">
        <f t="shared" si="40"/>
        <v>49485.03</v>
      </c>
      <c r="S54" s="52"/>
      <c r="T54" s="22">
        <v>0</v>
      </c>
      <c r="U54" s="22">
        <v>0</v>
      </c>
      <c r="V54" s="22">
        <v>0</v>
      </c>
      <c r="W54" s="22">
        <v>0</v>
      </c>
      <c r="X54" s="22">
        <f>SUM(T54:W54)</f>
        <v>0</v>
      </c>
      <c r="Y54" s="6">
        <v>0</v>
      </c>
      <c r="Z54" s="6">
        <f t="shared" si="41"/>
        <v>0</v>
      </c>
      <c r="AA54" s="4"/>
    </row>
    <row r="55" spans="1:27" ht="13.5" thickBot="1" x14ac:dyDescent="0.25">
      <c r="A55" s="79">
        <v>11</v>
      </c>
      <c r="B55" s="43" t="s">
        <v>34</v>
      </c>
      <c r="C55" s="100">
        <v>0</v>
      </c>
      <c r="D55" s="100">
        <v>0</v>
      </c>
      <c r="E55" s="100">
        <v>0</v>
      </c>
      <c r="F55" s="100">
        <v>0</v>
      </c>
      <c r="G55" s="100">
        <v>0</v>
      </c>
      <c r="H55" s="100">
        <v>0</v>
      </c>
      <c r="I55" s="100">
        <v>0</v>
      </c>
      <c r="J55" s="100">
        <v>0</v>
      </c>
      <c r="K55" s="100">
        <v>0</v>
      </c>
      <c r="L55" s="100">
        <v>0</v>
      </c>
      <c r="M55" s="100">
        <v>0</v>
      </c>
      <c r="N55" s="100">
        <v>0</v>
      </c>
      <c r="O55" s="100">
        <v>0</v>
      </c>
      <c r="P55" s="101">
        <f t="shared" si="39"/>
        <v>0</v>
      </c>
      <c r="Q55" s="102">
        <f>[17]Sheet1!$I$54</f>
        <v>73061.420000000013</v>
      </c>
      <c r="R55" s="103">
        <f t="shared" si="40"/>
        <v>73061.420000000013</v>
      </c>
      <c r="S55" s="50"/>
      <c r="T55" s="24">
        <v>0</v>
      </c>
      <c r="U55" s="24">
        <v>0</v>
      </c>
      <c r="V55" s="24">
        <v>0</v>
      </c>
      <c r="W55" s="24">
        <v>0</v>
      </c>
      <c r="X55" s="24">
        <f>SUM(T55:W55)</f>
        <v>0</v>
      </c>
      <c r="Y55" s="62">
        <v>0</v>
      </c>
      <c r="Z55" s="62">
        <f t="shared" si="41"/>
        <v>0</v>
      </c>
      <c r="AA55" s="4"/>
    </row>
    <row r="56" spans="1:27" ht="13.5" thickTop="1" x14ac:dyDescent="0.2">
      <c r="A56" s="79"/>
      <c r="B56" s="45" t="s">
        <v>4</v>
      </c>
      <c r="C56" s="106">
        <v>907842</v>
      </c>
      <c r="D56" s="106">
        <f>65795+132600+97120+3236</f>
        <v>298751</v>
      </c>
      <c r="E56" s="106">
        <v>27460</v>
      </c>
      <c r="F56" s="106">
        <v>17732</v>
      </c>
      <c r="G56" s="106">
        <v>1543</v>
      </c>
      <c r="H56" s="106">
        <v>29784</v>
      </c>
      <c r="I56" s="106">
        <v>5990</v>
      </c>
      <c r="J56" s="106">
        <v>7276</v>
      </c>
      <c r="K56" s="106">
        <v>0</v>
      </c>
      <c r="L56" s="106">
        <v>141535</v>
      </c>
      <c r="M56" s="106">
        <v>15839</v>
      </c>
      <c r="N56" s="106">
        <v>0</v>
      </c>
      <c r="O56" s="106">
        <f>5633+3100+7000</f>
        <v>15733</v>
      </c>
      <c r="P56" s="48">
        <f>SUM(C56:O56)</f>
        <v>1469485</v>
      </c>
      <c r="Q56" s="47">
        <f>SUM(Q52:Q55)</f>
        <v>1431498.62</v>
      </c>
      <c r="R56" s="49">
        <f t="shared" si="40"/>
        <v>-37986.379999999888</v>
      </c>
      <c r="S56" s="93"/>
      <c r="T56" s="25">
        <f t="shared" ref="T56:W56" si="42">SUM(T52:T55)</f>
        <v>0</v>
      </c>
      <c r="U56" s="25">
        <f t="shared" si="42"/>
        <v>0</v>
      </c>
      <c r="V56" s="25">
        <f t="shared" si="42"/>
        <v>0</v>
      </c>
      <c r="W56" s="25">
        <f t="shared" si="42"/>
        <v>0</v>
      </c>
      <c r="X56" s="25">
        <f>SUM(T56:W56)</f>
        <v>0</v>
      </c>
      <c r="Y56" s="6">
        <v>0</v>
      </c>
      <c r="Z56" s="6">
        <f t="shared" si="41"/>
        <v>0</v>
      </c>
      <c r="AA56" s="4"/>
    </row>
    <row r="57" spans="1:27" x14ac:dyDescent="0.2">
      <c r="A57" s="113"/>
      <c r="B57" s="81"/>
      <c r="C57" s="104"/>
      <c r="D57" s="104"/>
      <c r="E57" s="104"/>
      <c r="F57" s="104"/>
      <c r="G57" s="104"/>
      <c r="H57" s="104"/>
      <c r="I57" s="104"/>
      <c r="J57" s="104"/>
      <c r="K57" s="104"/>
      <c r="L57" s="104"/>
      <c r="M57" s="104"/>
      <c r="N57" s="104"/>
      <c r="O57" s="104"/>
      <c r="P57" s="104"/>
      <c r="Q57" s="104"/>
      <c r="R57" s="104"/>
      <c r="S57" s="50"/>
      <c r="T57" s="10"/>
      <c r="U57" s="10"/>
      <c r="V57" s="10"/>
      <c r="W57" s="10"/>
      <c r="X57" s="10"/>
      <c r="Y57" s="9"/>
      <c r="Z57" s="10"/>
      <c r="AA57" s="10"/>
    </row>
    <row r="58" spans="1:27" x14ac:dyDescent="0.2">
      <c r="A58" s="79">
        <v>12</v>
      </c>
      <c r="B58" s="43" t="s">
        <v>35</v>
      </c>
      <c r="C58" s="96">
        <v>0</v>
      </c>
      <c r="D58" s="96">
        <v>0</v>
      </c>
      <c r="E58" s="96">
        <v>0</v>
      </c>
      <c r="F58" s="96">
        <v>0</v>
      </c>
      <c r="G58" s="96">
        <v>0</v>
      </c>
      <c r="H58" s="96">
        <v>0</v>
      </c>
      <c r="I58" s="96">
        <v>0</v>
      </c>
      <c r="J58" s="96">
        <v>0</v>
      </c>
      <c r="K58" s="96">
        <v>0</v>
      </c>
      <c r="L58" s="96">
        <v>0</v>
      </c>
      <c r="M58" s="96">
        <v>0</v>
      </c>
      <c r="N58" s="96">
        <v>0</v>
      </c>
      <c r="O58" s="96">
        <v>0</v>
      </c>
      <c r="P58" s="97">
        <f t="shared" ref="P58:P59" si="43">SUM(C58:O58)</f>
        <v>0</v>
      </c>
      <c r="Q58" s="99">
        <f>[17]Sheet1!$I$57</f>
        <v>1088785.26</v>
      </c>
      <c r="R58" s="98">
        <f t="shared" ref="R58:R64" si="44">Q58-P58</f>
        <v>1088785.26</v>
      </c>
      <c r="S58" s="50"/>
      <c r="T58" s="22">
        <v>1732234</v>
      </c>
      <c r="U58" s="22">
        <v>540621</v>
      </c>
      <c r="V58" s="22">
        <v>250832</v>
      </c>
      <c r="W58" s="22">
        <v>0</v>
      </c>
      <c r="X58" s="22">
        <f>SUM(T58:W58)</f>
        <v>2523687</v>
      </c>
      <c r="Y58" s="6">
        <v>2479323</v>
      </c>
      <c r="Z58" s="6">
        <f t="shared" ref="Z58:Z60" si="45">Y58-X58</f>
        <v>-44364</v>
      </c>
      <c r="AA58" s="4"/>
    </row>
    <row r="59" spans="1:27" ht="13.5" thickBot="1" x14ac:dyDescent="0.25">
      <c r="A59" s="79">
        <v>12</v>
      </c>
      <c r="B59" s="43" t="s">
        <v>36</v>
      </c>
      <c r="C59" s="100">
        <v>0</v>
      </c>
      <c r="D59" s="100">
        <v>0</v>
      </c>
      <c r="E59" s="100">
        <v>0</v>
      </c>
      <c r="F59" s="100">
        <v>0</v>
      </c>
      <c r="G59" s="100">
        <v>0</v>
      </c>
      <c r="H59" s="100">
        <v>0</v>
      </c>
      <c r="I59" s="100">
        <v>0</v>
      </c>
      <c r="J59" s="100">
        <v>0</v>
      </c>
      <c r="K59" s="100">
        <v>0</v>
      </c>
      <c r="L59" s="100">
        <v>0</v>
      </c>
      <c r="M59" s="100">
        <v>0</v>
      </c>
      <c r="N59" s="100">
        <v>0</v>
      </c>
      <c r="O59" s="100">
        <v>0</v>
      </c>
      <c r="P59" s="101">
        <f t="shared" si="43"/>
        <v>0</v>
      </c>
      <c r="Q59" s="102">
        <f>[17]Sheet1!$I$58</f>
        <v>148454.12</v>
      </c>
      <c r="R59" s="103">
        <f t="shared" si="44"/>
        <v>148454.12</v>
      </c>
      <c r="S59" s="50"/>
      <c r="T59" s="24">
        <v>0</v>
      </c>
      <c r="U59" s="24">
        <v>0</v>
      </c>
      <c r="V59" s="24">
        <v>0</v>
      </c>
      <c r="W59" s="24">
        <v>0</v>
      </c>
      <c r="X59" s="24">
        <f>SUM(T59:W59)</f>
        <v>0</v>
      </c>
      <c r="Y59" s="62">
        <v>47713</v>
      </c>
      <c r="Z59" s="62">
        <f t="shared" si="45"/>
        <v>47713</v>
      </c>
      <c r="AA59" s="4"/>
    </row>
    <row r="60" spans="1:27" ht="13.5" thickTop="1" x14ac:dyDescent="0.2">
      <c r="A60" s="44"/>
      <c r="B60" s="45" t="s">
        <v>4</v>
      </c>
      <c r="C60" s="106">
        <f>268640+356209</f>
        <v>624849</v>
      </c>
      <c r="D60" s="106">
        <f>40577+80145+60522+740</f>
        <v>181984</v>
      </c>
      <c r="E60" s="106">
        <v>3854</v>
      </c>
      <c r="F60" s="106">
        <v>63</v>
      </c>
      <c r="G60" s="106">
        <v>616</v>
      </c>
      <c r="H60" s="106">
        <v>7200</v>
      </c>
      <c r="I60" s="106">
        <v>1623</v>
      </c>
      <c r="J60" s="106">
        <v>1375</v>
      </c>
      <c r="K60" s="106">
        <v>8920</v>
      </c>
      <c r="L60" s="106">
        <v>0</v>
      </c>
      <c r="M60" s="106">
        <v>2000</v>
      </c>
      <c r="N60" s="106">
        <v>0</v>
      </c>
      <c r="O60" s="106">
        <f>6205+4573+1522+4400+11654+5005</f>
        <v>33359</v>
      </c>
      <c r="P60" s="48">
        <f>SUM(C60:O60)</f>
        <v>865843</v>
      </c>
      <c r="Q60" s="47">
        <f>SUM(Q58:Q59)</f>
        <v>1237239.3799999999</v>
      </c>
      <c r="R60" s="49">
        <f t="shared" si="44"/>
        <v>371396.37999999989</v>
      </c>
      <c r="S60" s="93"/>
      <c r="T60" s="25">
        <f t="shared" ref="T60:W60" si="46">SUM(T58:T59)</f>
        <v>1732234</v>
      </c>
      <c r="U60" s="25">
        <f t="shared" si="46"/>
        <v>540621</v>
      </c>
      <c r="V60" s="25">
        <f t="shared" si="46"/>
        <v>250832</v>
      </c>
      <c r="W60" s="25">
        <f t="shared" si="46"/>
        <v>0</v>
      </c>
      <c r="X60" s="25">
        <f>SUM(T60:W60)</f>
        <v>2523687</v>
      </c>
      <c r="Y60" s="6">
        <v>2527036</v>
      </c>
      <c r="Z60" s="6">
        <f t="shared" si="45"/>
        <v>3349</v>
      </c>
      <c r="AA60" s="4"/>
    </row>
    <row r="61" spans="1:27" x14ac:dyDescent="0.2">
      <c r="A61" s="82"/>
      <c r="B61" s="83"/>
      <c r="C61" s="112"/>
      <c r="D61" s="112"/>
      <c r="E61" s="104"/>
      <c r="F61" s="104"/>
      <c r="G61" s="104"/>
      <c r="H61" s="104"/>
      <c r="I61" s="104"/>
      <c r="J61" s="104"/>
      <c r="K61" s="104"/>
      <c r="L61" s="104"/>
      <c r="M61" s="104"/>
      <c r="N61" s="104"/>
      <c r="O61" s="104"/>
      <c r="P61" s="111"/>
      <c r="Q61" s="104"/>
      <c r="R61" s="105"/>
      <c r="S61" s="50"/>
      <c r="T61" s="10"/>
      <c r="U61" s="10"/>
      <c r="V61" s="10"/>
      <c r="W61" s="10"/>
      <c r="X61" s="10"/>
      <c r="Y61" s="9"/>
      <c r="Z61" s="10"/>
      <c r="AA61" s="10"/>
    </row>
    <row r="62" spans="1:27" ht="38.25" x14ac:dyDescent="0.2">
      <c r="A62" s="79">
        <v>13</v>
      </c>
      <c r="B62" s="43" t="s">
        <v>37</v>
      </c>
      <c r="C62" s="96">
        <v>0</v>
      </c>
      <c r="D62" s="96">
        <v>0</v>
      </c>
      <c r="E62" s="96">
        <v>0</v>
      </c>
      <c r="F62" s="96">
        <v>0</v>
      </c>
      <c r="G62" s="96">
        <v>0</v>
      </c>
      <c r="H62" s="96">
        <v>0</v>
      </c>
      <c r="I62" s="96">
        <v>0</v>
      </c>
      <c r="J62" s="96">
        <v>0</v>
      </c>
      <c r="K62" s="96">
        <v>0</v>
      </c>
      <c r="L62" s="96">
        <v>0</v>
      </c>
      <c r="M62" s="96">
        <v>0</v>
      </c>
      <c r="N62" s="96">
        <v>0</v>
      </c>
      <c r="O62" s="96">
        <v>0</v>
      </c>
      <c r="P62" s="97">
        <f t="shared" ref="P62:P63" si="47">SUM(C62:O62)</f>
        <v>0</v>
      </c>
      <c r="Q62" s="99">
        <f>[17]Sheet1!$I$61</f>
        <v>1897997.06</v>
      </c>
      <c r="R62" s="98">
        <f t="shared" si="44"/>
        <v>1897997.06</v>
      </c>
      <c r="S62" s="50"/>
      <c r="T62" s="305">
        <v>6508875.9800000004</v>
      </c>
      <c r="U62" s="306"/>
      <c r="V62" s="22">
        <v>244229.6</v>
      </c>
      <c r="W62" s="22">
        <v>0</v>
      </c>
      <c r="X62" s="22">
        <f>SUM(T62:W62)</f>
        <v>6753105.5800000001</v>
      </c>
      <c r="Y62" s="6">
        <v>6753105.5800000001</v>
      </c>
      <c r="Z62" s="6">
        <f t="shared" ref="Z62:Z64" si="48">Y62-X62</f>
        <v>0</v>
      </c>
      <c r="AA62" s="4" t="s">
        <v>75</v>
      </c>
    </row>
    <row r="63" spans="1:27" ht="13.5" thickBot="1" x14ac:dyDescent="0.25">
      <c r="A63" s="79">
        <v>13</v>
      </c>
      <c r="B63" s="43" t="s">
        <v>38</v>
      </c>
      <c r="C63" s="100">
        <v>0</v>
      </c>
      <c r="D63" s="100">
        <v>0</v>
      </c>
      <c r="E63" s="100">
        <v>0</v>
      </c>
      <c r="F63" s="100">
        <v>0</v>
      </c>
      <c r="G63" s="100">
        <v>0</v>
      </c>
      <c r="H63" s="100">
        <v>0</v>
      </c>
      <c r="I63" s="100">
        <v>0</v>
      </c>
      <c r="J63" s="100">
        <v>0</v>
      </c>
      <c r="K63" s="100">
        <v>0</v>
      </c>
      <c r="L63" s="100">
        <v>0</v>
      </c>
      <c r="M63" s="100">
        <v>0</v>
      </c>
      <c r="N63" s="100">
        <v>0</v>
      </c>
      <c r="O63" s="100">
        <v>0</v>
      </c>
      <c r="P63" s="101">
        <f t="shared" si="47"/>
        <v>0</v>
      </c>
      <c r="Q63" s="102">
        <f>[17]Sheet1!$I$62</f>
        <v>406188.31</v>
      </c>
      <c r="R63" s="103">
        <f t="shared" si="44"/>
        <v>406188.31</v>
      </c>
      <c r="S63" s="50"/>
      <c r="T63" s="307">
        <v>927608</v>
      </c>
      <c r="U63" s="308"/>
      <c r="V63" s="24">
        <v>26003</v>
      </c>
      <c r="W63" s="24">
        <v>0</v>
      </c>
      <c r="X63" s="24">
        <f>SUM(T63:W63)</f>
        <v>953611</v>
      </c>
      <c r="Y63" s="62">
        <v>953611</v>
      </c>
      <c r="Z63" s="62">
        <f t="shared" si="48"/>
        <v>0</v>
      </c>
      <c r="AA63" s="4"/>
    </row>
    <row r="64" spans="1:27" ht="13.5" thickTop="1" x14ac:dyDescent="0.2">
      <c r="A64" s="44"/>
      <c r="B64" s="45" t="s">
        <v>4</v>
      </c>
      <c r="C64" s="106">
        <v>1439728</v>
      </c>
      <c r="D64" s="106">
        <f>83650+173468+122918+4652</f>
        <v>384688</v>
      </c>
      <c r="E64" s="106">
        <v>2194</v>
      </c>
      <c r="F64" s="106">
        <v>3487</v>
      </c>
      <c r="G64" s="106">
        <v>800</v>
      </c>
      <c r="H64" s="106">
        <v>0</v>
      </c>
      <c r="I64" s="106">
        <v>0</v>
      </c>
      <c r="J64" s="106">
        <v>3493</v>
      </c>
      <c r="K64" s="106">
        <v>20651</v>
      </c>
      <c r="L64" s="106">
        <v>3038</v>
      </c>
      <c r="M64" s="106">
        <v>10450</v>
      </c>
      <c r="N64" s="106">
        <v>1344</v>
      </c>
      <c r="O64" s="106">
        <f>11744+25823+14974+6195</f>
        <v>58736</v>
      </c>
      <c r="P64" s="48">
        <f>SUM(C64:O64)</f>
        <v>1928609</v>
      </c>
      <c r="Q64" s="47">
        <f>SUM(Q62:Q63)</f>
        <v>2304185.37</v>
      </c>
      <c r="R64" s="49">
        <f t="shared" si="44"/>
        <v>375576.37000000011</v>
      </c>
      <c r="S64" s="50"/>
      <c r="T64" s="25">
        <f t="shared" ref="T64:W64" si="49">SUM(T62:T63)</f>
        <v>7436483.9800000004</v>
      </c>
      <c r="U64" s="25">
        <f t="shared" si="49"/>
        <v>0</v>
      </c>
      <c r="V64" s="25">
        <f t="shared" si="49"/>
        <v>270232.59999999998</v>
      </c>
      <c r="W64" s="25">
        <f t="shared" si="49"/>
        <v>0</v>
      </c>
      <c r="X64" s="25">
        <f>SUM(T64:W64)</f>
        <v>7706716.5800000001</v>
      </c>
      <c r="Y64" s="6">
        <v>7706716.5800000001</v>
      </c>
      <c r="Z64" s="6">
        <f t="shared" si="48"/>
        <v>0</v>
      </c>
      <c r="AA64" s="4"/>
    </row>
    <row r="65" spans="1:27" x14ac:dyDescent="0.2">
      <c r="A65" s="82"/>
      <c r="B65" s="83"/>
      <c r="C65" s="110"/>
      <c r="D65" s="110"/>
      <c r="E65" s="104"/>
      <c r="F65" s="104"/>
      <c r="G65" s="104"/>
      <c r="H65" s="104"/>
      <c r="I65" s="104"/>
      <c r="J65" s="104"/>
      <c r="K65" s="104"/>
      <c r="L65" s="104"/>
      <c r="M65" s="104"/>
      <c r="N65" s="104"/>
      <c r="O65" s="104"/>
      <c r="P65" s="111"/>
      <c r="Q65" s="104"/>
      <c r="R65" s="105"/>
      <c r="S65" s="50"/>
      <c r="T65" s="10"/>
      <c r="U65" s="10"/>
      <c r="V65" s="10"/>
      <c r="W65" s="10"/>
      <c r="X65" s="10"/>
      <c r="Y65" s="9"/>
      <c r="Z65" s="10"/>
      <c r="AA65" s="10"/>
    </row>
    <row r="66" spans="1:27" ht="51" x14ac:dyDescent="0.2">
      <c r="A66" s="79">
        <v>14</v>
      </c>
      <c r="B66" s="43" t="s">
        <v>39</v>
      </c>
      <c r="C66" s="96">
        <v>0</v>
      </c>
      <c r="D66" s="96">
        <v>0</v>
      </c>
      <c r="E66" s="96">
        <v>0</v>
      </c>
      <c r="F66" s="96">
        <v>0</v>
      </c>
      <c r="G66" s="96">
        <v>0</v>
      </c>
      <c r="H66" s="96">
        <v>0</v>
      </c>
      <c r="I66" s="96">
        <v>0</v>
      </c>
      <c r="J66" s="96">
        <v>0</v>
      </c>
      <c r="K66" s="96">
        <v>0</v>
      </c>
      <c r="L66" s="96">
        <v>0</v>
      </c>
      <c r="M66" s="96">
        <v>0</v>
      </c>
      <c r="N66" s="96">
        <v>0</v>
      </c>
      <c r="O66" s="96">
        <v>0</v>
      </c>
      <c r="P66" s="97">
        <f t="shared" ref="P66:P70" si="50">SUM(C66:O66)</f>
        <v>0</v>
      </c>
      <c r="Q66" s="99">
        <f>[17]Sheet1!$I$65</f>
        <v>46558.030000000006</v>
      </c>
      <c r="R66" s="98">
        <f t="shared" ref="R66:R71" si="51">Q66-P66</f>
        <v>46558.030000000006</v>
      </c>
      <c r="S66" s="93"/>
      <c r="T66" s="22">
        <v>110267.19</v>
      </c>
      <c r="U66" s="22">
        <v>29878.720000000001</v>
      </c>
      <c r="V66" s="22">
        <v>2194.9</v>
      </c>
      <c r="W66" s="22">
        <v>0</v>
      </c>
      <c r="X66" s="22">
        <f t="shared" ref="X66:X71" si="52">SUM(T66:W66)</f>
        <v>142340.81</v>
      </c>
      <c r="Y66" s="6">
        <v>22265</v>
      </c>
      <c r="Z66" s="6">
        <f t="shared" ref="Z66:Z71" si="53">Y66-X66</f>
        <v>-120075.81</v>
      </c>
      <c r="AA66" s="4" t="s">
        <v>76</v>
      </c>
    </row>
    <row r="67" spans="1:27" x14ac:dyDescent="0.2">
      <c r="A67" s="79">
        <v>14</v>
      </c>
      <c r="B67" s="43" t="s">
        <v>40</v>
      </c>
      <c r="C67" s="96">
        <v>0</v>
      </c>
      <c r="D67" s="96">
        <v>0</v>
      </c>
      <c r="E67" s="96">
        <v>0</v>
      </c>
      <c r="F67" s="96">
        <v>0</v>
      </c>
      <c r="G67" s="96">
        <v>0</v>
      </c>
      <c r="H67" s="96">
        <v>0</v>
      </c>
      <c r="I67" s="96">
        <v>0</v>
      </c>
      <c r="J67" s="96">
        <v>0</v>
      </c>
      <c r="K67" s="96">
        <v>0</v>
      </c>
      <c r="L67" s="96">
        <v>0</v>
      </c>
      <c r="M67" s="96">
        <v>0</v>
      </c>
      <c r="N67" s="96">
        <v>0</v>
      </c>
      <c r="O67" s="96">
        <v>0</v>
      </c>
      <c r="P67" s="97">
        <f t="shared" si="50"/>
        <v>0</v>
      </c>
      <c r="Q67" s="99">
        <f>[17]Sheet1!$I$66</f>
        <v>1232825.3500000001</v>
      </c>
      <c r="R67" s="98">
        <f t="shared" si="51"/>
        <v>1232825.3500000001</v>
      </c>
      <c r="S67" s="50"/>
      <c r="T67" s="22">
        <v>1330198.93</v>
      </c>
      <c r="U67" s="22">
        <v>494327.9</v>
      </c>
      <c r="V67" s="22">
        <v>596834.68000000005</v>
      </c>
      <c r="W67" s="22">
        <v>340980.69</v>
      </c>
      <c r="X67" s="22">
        <f t="shared" si="52"/>
        <v>2762342.2</v>
      </c>
      <c r="Y67" s="6">
        <v>2886797.96</v>
      </c>
      <c r="Z67" s="6">
        <f t="shared" si="53"/>
        <v>124455.75999999978</v>
      </c>
      <c r="AA67" s="4"/>
    </row>
    <row r="68" spans="1:27" x14ac:dyDescent="0.2">
      <c r="A68" s="79">
        <v>14</v>
      </c>
      <c r="B68" s="43" t="s">
        <v>41</v>
      </c>
      <c r="C68" s="96">
        <v>0</v>
      </c>
      <c r="D68" s="96">
        <v>0</v>
      </c>
      <c r="E68" s="96">
        <v>0</v>
      </c>
      <c r="F68" s="96">
        <v>0</v>
      </c>
      <c r="G68" s="96">
        <v>0</v>
      </c>
      <c r="H68" s="96">
        <v>0</v>
      </c>
      <c r="I68" s="96">
        <v>0</v>
      </c>
      <c r="J68" s="96">
        <v>0</v>
      </c>
      <c r="K68" s="96">
        <v>0</v>
      </c>
      <c r="L68" s="96">
        <v>0</v>
      </c>
      <c r="M68" s="96">
        <v>0</v>
      </c>
      <c r="N68" s="96">
        <v>0</v>
      </c>
      <c r="O68" s="96">
        <v>0</v>
      </c>
      <c r="P68" s="97">
        <f t="shared" si="50"/>
        <v>0</v>
      </c>
      <c r="Q68" s="99">
        <f>[17]Sheet1!$I$67</f>
        <v>334036.83</v>
      </c>
      <c r="R68" s="98">
        <f t="shared" si="51"/>
        <v>334036.83</v>
      </c>
      <c r="S68" s="50"/>
      <c r="T68" s="22">
        <v>239319.47</v>
      </c>
      <c r="U68" s="22">
        <v>68281.58</v>
      </c>
      <c r="V68" s="22">
        <v>6040.91</v>
      </c>
      <c r="W68" s="22">
        <v>0</v>
      </c>
      <c r="X68" s="22">
        <f t="shared" si="52"/>
        <v>313641.95999999996</v>
      </c>
      <c r="Y68" s="6">
        <v>278814.67</v>
      </c>
      <c r="Z68" s="6">
        <f t="shared" si="53"/>
        <v>-34827.289999999979</v>
      </c>
      <c r="AA68" s="4"/>
    </row>
    <row r="69" spans="1:27" x14ac:dyDescent="0.2">
      <c r="A69" s="79">
        <v>14</v>
      </c>
      <c r="B69" s="43" t="s">
        <v>42</v>
      </c>
      <c r="C69" s="96">
        <v>0</v>
      </c>
      <c r="D69" s="96">
        <v>0</v>
      </c>
      <c r="E69" s="96">
        <v>0</v>
      </c>
      <c r="F69" s="96">
        <v>0</v>
      </c>
      <c r="G69" s="96">
        <v>0</v>
      </c>
      <c r="H69" s="96">
        <v>0</v>
      </c>
      <c r="I69" s="96">
        <v>0</v>
      </c>
      <c r="J69" s="96">
        <v>0</v>
      </c>
      <c r="K69" s="96">
        <v>0</v>
      </c>
      <c r="L69" s="96">
        <v>0</v>
      </c>
      <c r="M69" s="96">
        <v>0</v>
      </c>
      <c r="N69" s="96">
        <v>0</v>
      </c>
      <c r="O69" s="96">
        <v>0</v>
      </c>
      <c r="P69" s="97">
        <f t="shared" si="50"/>
        <v>0</v>
      </c>
      <c r="Q69" s="99">
        <f>[17]Sheet1!$I$68</f>
        <v>97758.51</v>
      </c>
      <c r="R69" s="98">
        <f t="shared" si="51"/>
        <v>97758.51</v>
      </c>
      <c r="S69" s="50"/>
      <c r="T69" s="22">
        <v>145319.66</v>
      </c>
      <c r="U69" s="22">
        <v>44007.89</v>
      </c>
      <c r="V69" s="22">
        <v>5454.37</v>
      </c>
      <c r="W69" s="22">
        <v>0</v>
      </c>
      <c r="X69" s="22">
        <f t="shared" si="52"/>
        <v>194781.91999999998</v>
      </c>
      <c r="Y69" s="6">
        <v>117080</v>
      </c>
      <c r="Z69" s="6">
        <f t="shared" si="53"/>
        <v>-77701.919999999984</v>
      </c>
      <c r="AA69" s="4"/>
    </row>
    <row r="70" spans="1:27" ht="13.5" thickBot="1" x14ac:dyDescent="0.25">
      <c r="A70" s="79">
        <v>14</v>
      </c>
      <c r="B70" s="43" t="s">
        <v>43</v>
      </c>
      <c r="C70" s="100">
        <v>0</v>
      </c>
      <c r="D70" s="100">
        <v>0</v>
      </c>
      <c r="E70" s="100">
        <v>0</v>
      </c>
      <c r="F70" s="100">
        <v>0</v>
      </c>
      <c r="G70" s="100">
        <v>0</v>
      </c>
      <c r="H70" s="100">
        <v>0</v>
      </c>
      <c r="I70" s="100">
        <v>0</v>
      </c>
      <c r="J70" s="100">
        <v>0</v>
      </c>
      <c r="K70" s="100">
        <v>0</v>
      </c>
      <c r="L70" s="100">
        <v>0</v>
      </c>
      <c r="M70" s="100">
        <v>0</v>
      </c>
      <c r="N70" s="100">
        <v>0</v>
      </c>
      <c r="O70" s="100">
        <v>0</v>
      </c>
      <c r="P70" s="101">
        <f t="shared" si="50"/>
        <v>0</v>
      </c>
      <c r="Q70" s="102">
        <f>[17]Sheet1!$I$69</f>
        <v>187156.69</v>
      </c>
      <c r="R70" s="103">
        <f t="shared" si="51"/>
        <v>187156.69</v>
      </c>
      <c r="S70" s="93"/>
      <c r="T70" s="24">
        <v>284244.49</v>
      </c>
      <c r="U70" s="24">
        <v>109849.9</v>
      </c>
      <c r="V70" s="24">
        <v>6907.27</v>
      </c>
      <c r="W70" s="24">
        <v>0</v>
      </c>
      <c r="X70" s="24">
        <f t="shared" si="52"/>
        <v>401001.66000000003</v>
      </c>
      <c r="Y70" s="62">
        <v>278845</v>
      </c>
      <c r="Z70" s="62">
        <f t="shared" si="53"/>
        <v>-122156.66000000003</v>
      </c>
      <c r="AA70" s="4"/>
    </row>
    <row r="71" spans="1:27" ht="13.5" thickTop="1" x14ac:dyDescent="0.2">
      <c r="A71" s="44"/>
      <c r="B71" s="45" t="s">
        <v>4</v>
      </c>
      <c r="C71" s="106">
        <v>1138196.48</v>
      </c>
      <c r="D71" s="106">
        <f>67673.14+259909.94+125383.23+22483.92</f>
        <v>475450.23</v>
      </c>
      <c r="E71" s="106">
        <v>51621.77</v>
      </c>
      <c r="F71" s="106">
        <v>357.97</v>
      </c>
      <c r="G71" s="106">
        <v>1743.61</v>
      </c>
      <c r="H71" s="106">
        <v>0</v>
      </c>
      <c r="I71" s="106">
        <v>0</v>
      </c>
      <c r="J71" s="106">
        <v>11680.89</v>
      </c>
      <c r="K71" s="106">
        <v>0</v>
      </c>
      <c r="L71" s="106">
        <v>105347.03</v>
      </c>
      <c r="M71" s="106">
        <v>17029.23</v>
      </c>
      <c r="N71" s="106">
        <v>3713.59</v>
      </c>
      <c r="O71" s="106">
        <f>14895.71+11205.26+4754.77</f>
        <v>30855.74</v>
      </c>
      <c r="P71" s="48">
        <f>SUM(C71:O71)</f>
        <v>1835996.54</v>
      </c>
      <c r="Q71" s="47">
        <f>SUM(Q66:Q70)</f>
        <v>1898335.4100000001</v>
      </c>
      <c r="R71" s="49">
        <f t="shared" si="51"/>
        <v>62338.870000000112</v>
      </c>
      <c r="S71" s="50"/>
      <c r="T71" s="25">
        <f t="shared" ref="T71:W71" si="54">SUM(T66:T70)</f>
        <v>2109349.7399999998</v>
      </c>
      <c r="U71" s="25">
        <f t="shared" si="54"/>
        <v>746345.99</v>
      </c>
      <c r="V71" s="25">
        <f t="shared" si="54"/>
        <v>617432.13000000012</v>
      </c>
      <c r="W71" s="25">
        <f t="shared" si="54"/>
        <v>340980.69</v>
      </c>
      <c r="X71" s="25">
        <f t="shared" si="52"/>
        <v>3814108.5499999993</v>
      </c>
      <c r="Y71" s="6">
        <v>3583802.63</v>
      </c>
      <c r="Z71" s="6">
        <f t="shared" si="53"/>
        <v>-230305.91999999946</v>
      </c>
      <c r="AA71" s="4"/>
    </row>
    <row r="72" spans="1:27" x14ac:dyDescent="0.2">
      <c r="A72" s="82"/>
      <c r="B72" s="83"/>
      <c r="C72" s="110"/>
      <c r="D72" s="110"/>
      <c r="E72" s="104"/>
      <c r="F72" s="104"/>
      <c r="G72" s="104"/>
      <c r="H72" s="104"/>
      <c r="I72" s="104"/>
      <c r="J72" s="104"/>
      <c r="K72" s="104"/>
      <c r="L72" s="104"/>
      <c r="M72" s="104"/>
      <c r="N72" s="104"/>
      <c r="O72" s="104"/>
      <c r="P72" s="111"/>
      <c r="Q72" s="104"/>
      <c r="R72" s="105"/>
      <c r="S72" s="50"/>
      <c r="T72" s="10"/>
      <c r="U72" s="10"/>
      <c r="V72" s="10"/>
      <c r="W72" s="10"/>
      <c r="X72" s="10"/>
      <c r="Y72" s="9"/>
      <c r="Z72" s="10"/>
      <c r="AA72" s="10"/>
    </row>
    <row r="73" spans="1:27" x14ac:dyDescent="0.2">
      <c r="A73" s="79">
        <v>15</v>
      </c>
      <c r="B73" s="43" t="s">
        <v>44</v>
      </c>
      <c r="C73" s="96">
        <v>154247</v>
      </c>
      <c r="D73" s="96">
        <f>11800+17322+17060+508</f>
        <v>46690</v>
      </c>
      <c r="E73" s="96">
        <v>0</v>
      </c>
      <c r="F73" s="96">
        <v>500</v>
      </c>
      <c r="G73" s="96">
        <v>1500</v>
      </c>
      <c r="H73" s="96">
        <v>2000</v>
      </c>
      <c r="I73" s="96">
        <v>0</v>
      </c>
      <c r="J73" s="96">
        <v>2000</v>
      </c>
      <c r="K73" s="96">
        <v>3000</v>
      </c>
      <c r="L73" s="96">
        <v>500</v>
      </c>
      <c r="M73" s="96">
        <v>900</v>
      </c>
      <c r="N73" s="96">
        <v>0</v>
      </c>
      <c r="O73" s="96">
        <f>500+4000</f>
        <v>4500</v>
      </c>
      <c r="P73" s="97">
        <f t="shared" ref="P73:P74" si="55">SUM(C73:O73)</f>
        <v>215837</v>
      </c>
      <c r="Q73" s="99">
        <f>[17]Sheet1!$I$72</f>
        <v>279442.56</v>
      </c>
      <c r="R73" s="98">
        <f t="shared" ref="R73:R75" si="56">Q73-P73</f>
        <v>63605.56</v>
      </c>
      <c r="S73" s="93"/>
      <c r="T73" s="22">
        <v>708079.84</v>
      </c>
      <c r="U73" s="22">
        <v>250795.91</v>
      </c>
      <c r="V73" s="22">
        <v>88742.25</v>
      </c>
      <c r="W73" s="22">
        <v>0</v>
      </c>
      <c r="X73" s="22">
        <f>SUM(T73:W73)</f>
        <v>1047618</v>
      </c>
      <c r="Y73" s="6">
        <v>1146867.5</v>
      </c>
      <c r="Z73" s="6">
        <f t="shared" ref="Z73:Z75" si="57">Y73-X73</f>
        <v>99249.5</v>
      </c>
      <c r="AA73" s="4"/>
    </row>
    <row r="74" spans="1:27" ht="13.5" thickBot="1" x14ac:dyDescent="0.25">
      <c r="A74" s="79">
        <v>15</v>
      </c>
      <c r="B74" s="43" t="s">
        <v>45</v>
      </c>
      <c r="C74" s="100">
        <v>1080380</v>
      </c>
      <c r="D74" s="100">
        <f>82649+122692+117762+7842</f>
        <v>330945</v>
      </c>
      <c r="E74" s="100">
        <v>5000</v>
      </c>
      <c r="F74" s="100">
        <v>2500</v>
      </c>
      <c r="G74" s="100">
        <v>1000</v>
      </c>
      <c r="H74" s="100">
        <v>15000</v>
      </c>
      <c r="I74" s="100">
        <v>0</v>
      </c>
      <c r="J74" s="100">
        <v>11500</v>
      </c>
      <c r="K74" s="100">
        <v>3500</v>
      </c>
      <c r="L74" s="100">
        <v>1000</v>
      </c>
      <c r="M74" s="100">
        <v>28000</v>
      </c>
      <c r="N74" s="100">
        <v>0</v>
      </c>
      <c r="O74" s="100">
        <f>1000+33000</f>
        <v>34000</v>
      </c>
      <c r="P74" s="101">
        <f t="shared" si="55"/>
        <v>1512825</v>
      </c>
      <c r="Q74" s="102">
        <f>[17]Sheet1!$I$73</f>
        <v>1675777.88</v>
      </c>
      <c r="R74" s="103">
        <f t="shared" si="56"/>
        <v>162952.87999999989</v>
      </c>
      <c r="S74" s="52"/>
      <c r="T74" s="24">
        <v>2519160.75</v>
      </c>
      <c r="U74" s="24">
        <v>877932.77</v>
      </c>
      <c r="V74" s="24">
        <v>477815.98</v>
      </c>
      <c r="W74" s="24">
        <v>0</v>
      </c>
      <c r="X74" s="24">
        <f>SUM(T74:W74)</f>
        <v>3874909.5</v>
      </c>
      <c r="Y74" s="62">
        <v>6950935.9000000004</v>
      </c>
      <c r="Z74" s="62">
        <f t="shared" si="57"/>
        <v>3076026.4000000004</v>
      </c>
      <c r="AA74" s="4"/>
    </row>
    <row r="75" spans="1:27" ht="13.5" thickTop="1" x14ac:dyDescent="0.2">
      <c r="A75" s="44"/>
      <c r="B75" s="45" t="s">
        <v>4</v>
      </c>
      <c r="C75" s="106">
        <f>SUM(C73:C74)</f>
        <v>1234627</v>
      </c>
      <c r="D75" s="106">
        <f t="shared" ref="D75:O75" si="58">SUM(D73:D74)</f>
        <v>377635</v>
      </c>
      <c r="E75" s="106">
        <f t="shared" si="58"/>
        <v>5000</v>
      </c>
      <c r="F75" s="106">
        <f t="shared" si="58"/>
        <v>3000</v>
      </c>
      <c r="G75" s="106">
        <f t="shared" si="58"/>
        <v>2500</v>
      </c>
      <c r="H75" s="106">
        <f t="shared" si="58"/>
        <v>17000</v>
      </c>
      <c r="I75" s="106">
        <f t="shared" si="58"/>
        <v>0</v>
      </c>
      <c r="J75" s="106">
        <f t="shared" si="58"/>
        <v>13500</v>
      </c>
      <c r="K75" s="106">
        <f t="shared" si="58"/>
        <v>6500</v>
      </c>
      <c r="L75" s="106">
        <f t="shared" si="58"/>
        <v>1500</v>
      </c>
      <c r="M75" s="106">
        <f t="shared" si="58"/>
        <v>28900</v>
      </c>
      <c r="N75" s="106">
        <f t="shared" si="58"/>
        <v>0</v>
      </c>
      <c r="O75" s="106">
        <f t="shared" si="58"/>
        <v>38500</v>
      </c>
      <c r="P75" s="48">
        <f>SUM(C75:O75)</f>
        <v>1728662</v>
      </c>
      <c r="Q75" s="47">
        <f>SUM(Q73:Q74)</f>
        <v>1955220.44</v>
      </c>
      <c r="R75" s="49">
        <f t="shared" si="56"/>
        <v>226558.43999999994</v>
      </c>
      <c r="S75" s="50"/>
      <c r="T75" s="25">
        <f t="shared" ref="T75:W75" si="59">SUM(T73:T74)</f>
        <v>3227240.59</v>
      </c>
      <c r="U75" s="25">
        <f t="shared" si="59"/>
        <v>1128728.68</v>
      </c>
      <c r="V75" s="25">
        <f t="shared" si="59"/>
        <v>566558.23</v>
      </c>
      <c r="W75" s="25">
        <f t="shared" si="59"/>
        <v>0</v>
      </c>
      <c r="X75" s="25">
        <f>SUM(T75:W75)</f>
        <v>4922527.5</v>
      </c>
      <c r="Y75" s="6">
        <v>8097803.4000000004</v>
      </c>
      <c r="Z75" s="6">
        <f t="shared" si="57"/>
        <v>3175275.9000000004</v>
      </c>
      <c r="AA75" s="4"/>
    </row>
    <row r="76" spans="1:27" x14ac:dyDescent="0.2">
      <c r="A76" s="82"/>
      <c r="B76" s="83"/>
      <c r="C76" s="112"/>
      <c r="D76" s="112"/>
      <c r="E76" s="104"/>
      <c r="F76" s="104"/>
      <c r="G76" s="104"/>
      <c r="H76" s="104"/>
      <c r="I76" s="104"/>
      <c r="J76" s="104"/>
      <c r="K76" s="104"/>
      <c r="L76" s="104"/>
      <c r="M76" s="104"/>
      <c r="N76" s="104"/>
      <c r="O76" s="104"/>
      <c r="P76" s="111"/>
      <c r="Q76" s="104"/>
      <c r="R76" s="105"/>
      <c r="S76" s="89"/>
      <c r="T76" s="10"/>
      <c r="U76" s="10"/>
      <c r="V76" s="10"/>
      <c r="W76" s="10"/>
      <c r="X76" s="10"/>
      <c r="Y76" s="9"/>
      <c r="Z76" s="10"/>
      <c r="AA76" s="10"/>
    </row>
    <row r="77" spans="1:27" x14ac:dyDescent="0.2">
      <c r="A77" s="79">
        <v>16</v>
      </c>
      <c r="B77" s="43" t="s">
        <v>46</v>
      </c>
      <c r="C77" s="96">
        <v>0</v>
      </c>
      <c r="D77" s="96">
        <v>0</v>
      </c>
      <c r="E77" s="96">
        <v>0</v>
      </c>
      <c r="F77" s="96">
        <v>0</v>
      </c>
      <c r="G77" s="96">
        <v>0</v>
      </c>
      <c r="H77" s="96">
        <v>0</v>
      </c>
      <c r="I77" s="96">
        <v>0</v>
      </c>
      <c r="J77" s="96">
        <v>0</v>
      </c>
      <c r="K77" s="96">
        <v>0</v>
      </c>
      <c r="L77" s="96">
        <v>0</v>
      </c>
      <c r="M77" s="96">
        <v>0</v>
      </c>
      <c r="N77" s="96">
        <v>0</v>
      </c>
      <c r="O77" s="96">
        <v>0</v>
      </c>
      <c r="P77" s="97">
        <f t="shared" ref="P77:P78" si="60">SUM(C77:O77)</f>
        <v>0</v>
      </c>
      <c r="Q77" s="99">
        <f>[17]Sheet1!$I$76</f>
        <v>174643.71000000002</v>
      </c>
      <c r="R77" s="98">
        <f t="shared" ref="R77:R79" si="61">Q77-P77</f>
        <v>174643.71000000002</v>
      </c>
      <c r="S77" s="89"/>
      <c r="T77" s="22">
        <v>256043</v>
      </c>
      <c r="U77" s="22">
        <v>71114</v>
      </c>
      <c r="V77" s="22">
        <v>5400</v>
      </c>
      <c r="W77" s="22">
        <v>0</v>
      </c>
      <c r="X77" s="22">
        <f>SUM(T77:W77)</f>
        <v>332557</v>
      </c>
      <c r="Y77" s="6">
        <v>257408</v>
      </c>
      <c r="Z77" s="6">
        <f t="shared" ref="Z77:Z79" si="62">Y77-X77</f>
        <v>-75149</v>
      </c>
      <c r="AA77" s="4"/>
    </row>
    <row r="78" spans="1:27" ht="13.5" thickBot="1" x14ac:dyDescent="0.25">
      <c r="A78" s="79">
        <v>16</v>
      </c>
      <c r="B78" s="43" t="s">
        <v>47</v>
      </c>
      <c r="C78" s="100">
        <v>0</v>
      </c>
      <c r="D78" s="100">
        <v>0</v>
      </c>
      <c r="E78" s="100">
        <v>0</v>
      </c>
      <c r="F78" s="100">
        <v>0</v>
      </c>
      <c r="G78" s="100">
        <v>0</v>
      </c>
      <c r="H78" s="100">
        <v>0</v>
      </c>
      <c r="I78" s="100">
        <v>0</v>
      </c>
      <c r="J78" s="100">
        <v>0</v>
      </c>
      <c r="K78" s="100">
        <v>0</v>
      </c>
      <c r="L78" s="100">
        <v>0</v>
      </c>
      <c r="M78" s="100">
        <v>0</v>
      </c>
      <c r="N78" s="100">
        <v>0</v>
      </c>
      <c r="O78" s="100">
        <v>0</v>
      </c>
      <c r="P78" s="101">
        <f t="shared" si="60"/>
        <v>0</v>
      </c>
      <c r="Q78" s="102">
        <f>[17]Sheet1!$I$77</f>
        <v>1960982.69</v>
      </c>
      <c r="R78" s="103">
        <f t="shared" si="61"/>
        <v>1960982.69</v>
      </c>
      <c r="S78" s="89"/>
      <c r="T78" s="24">
        <v>3738467</v>
      </c>
      <c r="U78" s="24">
        <v>1006865</v>
      </c>
      <c r="V78" s="24">
        <v>950764</v>
      </c>
      <c r="W78" s="24">
        <v>0</v>
      </c>
      <c r="X78" s="24">
        <f>SUM(T78:W78)</f>
        <v>5696096</v>
      </c>
      <c r="Y78" s="62">
        <v>5904015</v>
      </c>
      <c r="Z78" s="62">
        <f t="shared" si="62"/>
        <v>207919</v>
      </c>
      <c r="AA78" s="4"/>
    </row>
    <row r="79" spans="1:27" ht="13.5" thickTop="1" x14ac:dyDescent="0.2">
      <c r="A79" s="84"/>
      <c r="B79" s="45" t="s">
        <v>4</v>
      </c>
      <c r="C79" s="106">
        <v>1465700.84</v>
      </c>
      <c r="D79" s="106">
        <f>112126.11+127560.49+166334.54+10259.91</f>
        <v>416281.05</v>
      </c>
      <c r="E79" s="106">
        <v>2201.41</v>
      </c>
      <c r="F79" s="106">
        <v>818.5</v>
      </c>
      <c r="G79" s="106">
        <v>3464.38</v>
      </c>
      <c r="H79" s="106">
        <v>1593.9</v>
      </c>
      <c r="I79" s="106">
        <v>0</v>
      </c>
      <c r="J79" s="106">
        <v>8639.8700000000008</v>
      </c>
      <c r="K79" s="106">
        <v>2117.79</v>
      </c>
      <c r="L79" s="106">
        <v>15178.25</v>
      </c>
      <c r="M79" s="106">
        <v>2700</v>
      </c>
      <c r="N79" s="106">
        <v>0</v>
      </c>
      <c r="O79" s="106">
        <f>987.7+15947.82</f>
        <v>16935.52</v>
      </c>
      <c r="P79" s="48">
        <f>SUM(C79:O79)</f>
        <v>1935631.51</v>
      </c>
      <c r="Q79" s="47">
        <f>SUM(Q77:Q78)</f>
        <v>2135626.4</v>
      </c>
      <c r="R79" s="49">
        <f t="shared" si="61"/>
        <v>199994.8899999999</v>
      </c>
      <c r="S79" s="89"/>
      <c r="T79" s="25">
        <f t="shared" ref="T79:W79" si="63">SUM(T77:T78)</f>
        <v>3994510</v>
      </c>
      <c r="U79" s="25">
        <f t="shared" si="63"/>
        <v>1077979</v>
      </c>
      <c r="V79" s="25">
        <f t="shared" si="63"/>
        <v>956164</v>
      </c>
      <c r="W79" s="25">
        <f t="shared" si="63"/>
        <v>0</v>
      </c>
      <c r="X79" s="25">
        <f>SUM(T79:W79)</f>
        <v>6028653</v>
      </c>
      <c r="Y79" s="6">
        <v>6161423</v>
      </c>
      <c r="Z79" s="6">
        <f t="shared" si="62"/>
        <v>132770</v>
      </c>
      <c r="AA79" s="4"/>
    </row>
    <row r="80" spans="1:27" x14ac:dyDescent="0.2">
      <c r="A80" s="114"/>
      <c r="B80" s="115"/>
      <c r="C80" s="116"/>
      <c r="D80" s="116"/>
      <c r="E80" s="116"/>
      <c r="F80" s="116"/>
      <c r="G80" s="116"/>
      <c r="H80" s="116"/>
      <c r="I80" s="116"/>
      <c r="J80" s="116"/>
      <c r="K80" s="116"/>
      <c r="L80" s="116"/>
      <c r="M80" s="116"/>
      <c r="N80" s="116"/>
      <c r="O80" s="116"/>
      <c r="P80" s="117"/>
      <c r="Q80" s="116"/>
      <c r="R80" s="118"/>
      <c r="S80" s="89"/>
      <c r="T80" s="30"/>
      <c r="U80" s="31"/>
      <c r="V80" s="27"/>
      <c r="W80" s="27"/>
      <c r="X80" s="31"/>
      <c r="Y80" s="9"/>
      <c r="Z80" s="10"/>
      <c r="AA80" s="10"/>
    </row>
    <row r="81" spans="1:27" x14ac:dyDescent="0.2">
      <c r="A81" s="85"/>
      <c r="B81" s="86"/>
      <c r="C81" s="119"/>
      <c r="D81" s="119"/>
      <c r="E81" s="119"/>
      <c r="F81" s="119"/>
      <c r="G81" s="119"/>
      <c r="H81" s="119"/>
      <c r="I81" s="119"/>
      <c r="J81" s="119"/>
      <c r="K81" s="119"/>
      <c r="L81" s="119"/>
      <c r="M81" s="119"/>
      <c r="N81" s="119"/>
      <c r="O81" s="119"/>
      <c r="P81" s="119"/>
      <c r="Q81" s="119"/>
      <c r="R81" s="119"/>
      <c r="S81" s="89"/>
      <c r="T81" s="32"/>
      <c r="U81" s="22"/>
      <c r="V81" s="32"/>
      <c r="W81" s="32"/>
      <c r="X81" s="32"/>
      <c r="Y81" s="6"/>
      <c r="Z81" s="4"/>
      <c r="AA81" s="4"/>
    </row>
    <row r="82" spans="1:27" s="1" customFormat="1" x14ac:dyDescent="0.2">
      <c r="A82" s="87"/>
      <c r="B82" s="65" t="s">
        <v>48</v>
      </c>
      <c r="C82" s="120">
        <f t="shared" ref="C82:R82" si="64">SUM(C6+C11+C17+C23+C27+C32+C36+C42+C46+C50+C56+C60+C64+C71+C75+C79)</f>
        <v>19738511.899999999</v>
      </c>
      <c r="D82" s="120">
        <f t="shared" si="64"/>
        <v>5266236.76</v>
      </c>
      <c r="E82" s="120">
        <f t="shared" si="64"/>
        <v>164014.70000000001</v>
      </c>
      <c r="F82" s="120">
        <f t="shared" si="64"/>
        <v>168823.75</v>
      </c>
      <c r="G82" s="120">
        <f t="shared" si="64"/>
        <v>36597.06</v>
      </c>
      <c r="H82" s="120">
        <f t="shared" si="64"/>
        <v>233887.9</v>
      </c>
      <c r="I82" s="120">
        <f t="shared" si="64"/>
        <v>29560.28</v>
      </c>
      <c r="J82" s="120">
        <f t="shared" si="64"/>
        <v>172632.59999999998</v>
      </c>
      <c r="K82" s="120">
        <f t="shared" si="64"/>
        <v>72405.569999999992</v>
      </c>
      <c r="L82" s="120">
        <f t="shared" si="64"/>
        <v>957445.89</v>
      </c>
      <c r="M82" s="120">
        <f t="shared" si="64"/>
        <v>258203.06</v>
      </c>
      <c r="N82" s="120">
        <f t="shared" si="64"/>
        <v>67196.78</v>
      </c>
      <c r="O82" s="120">
        <f t="shared" si="64"/>
        <v>724321.83</v>
      </c>
      <c r="P82" s="120">
        <f t="shared" si="64"/>
        <v>27889838.080000002</v>
      </c>
      <c r="Q82" s="120">
        <f t="shared" si="64"/>
        <v>28946281.449999999</v>
      </c>
      <c r="R82" s="120">
        <f t="shared" si="64"/>
        <v>1056443.3700000003</v>
      </c>
      <c r="S82" s="89"/>
      <c r="T82" s="34">
        <f>T79+T75+T71+T64+T60+T56+T50+T46+T42+T36+T32+T27+T23+T17+T11+T6</f>
        <v>195723637.46000001</v>
      </c>
      <c r="U82" s="34">
        <f>U79+U75+U71+U64+U60+U56+U50+U46+U42+U36+U32+U27+U23+U17+U11+U6</f>
        <v>11570426.91</v>
      </c>
      <c r="V82" s="34">
        <f>V79+V75+V71+V64+V60+V56+V50+V46+V42+V36+V32+V27+V23+V17+V11+V6</f>
        <v>7266732.9700000016</v>
      </c>
      <c r="W82" s="34">
        <f>W79+W75+W71+W64+W60+W56+W50+W46+W42+W36+W32+W27+W23+W17+W11+W6</f>
        <v>422213.69</v>
      </c>
      <c r="X82" s="25">
        <f>SUM(T82:W82)</f>
        <v>214983011.03</v>
      </c>
      <c r="Y82" s="63">
        <v>55132334.310000002</v>
      </c>
      <c r="Z82" s="64">
        <f t="shared" ref="Z82" si="65">Y82-X82</f>
        <v>-159850676.72</v>
      </c>
      <c r="AA82" s="23"/>
    </row>
    <row r="83" spans="1:27" s="1" customFormat="1" x14ac:dyDescent="0.2">
      <c r="A83" s="2"/>
      <c r="B83" s="3"/>
      <c r="C83" s="53"/>
      <c r="D83" s="53"/>
      <c r="E83" s="53"/>
      <c r="F83" s="54"/>
      <c r="G83" s="35"/>
      <c r="H83" s="35"/>
      <c r="I83" s="35"/>
      <c r="J83" s="35"/>
      <c r="K83" s="35"/>
      <c r="L83" s="35"/>
      <c r="M83" s="35"/>
      <c r="N83" s="35"/>
      <c r="O83" s="35"/>
      <c r="P83" s="35"/>
      <c r="Q83" s="35"/>
      <c r="R83" s="35"/>
      <c r="T83" s="23"/>
      <c r="U83" s="23"/>
      <c r="V83" s="23"/>
      <c r="W83" s="23"/>
      <c r="X83" s="23"/>
      <c r="AA83" s="142"/>
    </row>
    <row r="84" spans="1:27" s="1" customFormat="1" x14ac:dyDescent="0.2">
      <c r="A84" s="2"/>
      <c r="B84" s="3"/>
      <c r="C84" s="53"/>
      <c r="D84" s="53"/>
      <c r="E84" s="53"/>
      <c r="F84" s="54"/>
      <c r="G84" s="35"/>
      <c r="H84" s="35"/>
      <c r="I84" s="35"/>
      <c r="J84" s="35"/>
      <c r="K84" s="35"/>
      <c r="L84" s="35"/>
      <c r="M84" s="35"/>
      <c r="N84" s="35"/>
      <c r="O84" s="35"/>
      <c r="P84" s="35"/>
      <c r="Q84" s="35"/>
      <c r="R84" s="35"/>
      <c r="T84" s="23"/>
      <c r="U84" s="23"/>
      <c r="V84" s="23"/>
      <c r="W84" s="23"/>
      <c r="X84" s="23"/>
      <c r="AA84" s="142"/>
    </row>
    <row r="85" spans="1:27" s="1" customFormat="1" x14ac:dyDescent="0.2">
      <c r="A85" s="55"/>
      <c r="B85" s="56"/>
      <c r="C85" s="57"/>
      <c r="D85" s="57"/>
      <c r="E85" s="57"/>
      <c r="F85" s="54"/>
      <c r="G85" s="35"/>
      <c r="H85" s="35"/>
      <c r="I85" s="35"/>
      <c r="J85" s="35"/>
      <c r="K85" s="35"/>
      <c r="L85" s="35"/>
      <c r="M85" s="35"/>
      <c r="N85" s="35"/>
      <c r="O85" s="35"/>
      <c r="P85" s="35"/>
      <c r="Q85" s="35"/>
      <c r="R85" s="35"/>
      <c r="T85" s="23"/>
      <c r="U85" s="23"/>
      <c r="V85" s="23"/>
      <c r="W85" s="23"/>
      <c r="X85" s="23"/>
      <c r="AA85" s="142"/>
    </row>
    <row r="86" spans="1:27" x14ac:dyDescent="0.2">
      <c r="B86" s="3"/>
      <c r="C86" s="53"/>
      <c r="D86" s="53"/>
      <c r="E86" s="53"/>
      <c r="F86" s="54"/>
      <c r="G86" s="35"/>
      <c r="H86" s="35"/>
      <c r="I86" s="35"/>
      <c r="J86" s="35"/>
      <c r="K86" s="35"/>
      <c r="L86" s="35"/>
      <c r="M86" s="35"/>
      <c r="N86" s="35"/>
      <c r="O86" s="35"/>
      <c r="P86" s="35"/>
      <c r="Q86" s="35"/>
      <c r="R86" s="35"/>
    </row>
    <row r="87" spans="1:27" x14ac:dyDescent="0.2">
      <c r="F87" s="54"/>
      <c r="G87" s="35"/>
      <c r="H87" s="35"/>
      <c r="I87" s="35"/>
      <c r="J87" s="35"/>
      <c r="K87" s="35"/>
      <c r="L87" s="35"/>
      <c r="M87" s="35"/>
      <c r="N87" s="35"/>
      <c r="O87" s="35"/>
      <c r="P87" s="35"/>
      <c r="Q87" s="35"/>
      <c r="R87" s="35"/>
    </row>
    <row r="88" spans="1:27" x14ac:dyDescent="0.2">
      <c r="F88" s="58"/>
      <c r="G88" s="35"/>
      <c r="H88" s="35"/>
      <c r="I88" s="35"/>
      <c r="J88" s="35"/>
      <c r="K88" s="35"/>
      <c r="L88" s="35"/>
      <c r="M88" s="35"/>
      <c r="N88" s="35"/>
      <c r="O88" s="35"/>
      <c r="P88" s="35"/>
      <c r="Q88" s="35"/>
      <c r="R88" s="35"/>
    </row>
  </sheetData>
  <mergeCells count="2">
    <mergeCell ref="T62:U62"/>
    <mergeCell ref="T63:U63"/>
  </mergeCells>
  <pageMargins left="0.7" right="0.7" top="0.75" bottom="0.75" header="0.3" footer="0.3"/>
  <pageSetup paperSize="5" scale="43" fitToHeight="0" orientation="landscape" r:id="rId1"/>
  <headerFooter>
    <oddHeader>&amp;CFY 15-16 Combined Expense Details - Indigent Defense and Solicitor's Offices</oddHeader>
    <oddFooter>&amp;LData and analysis based on reports submitted by Commission on Indigent Defense and Commission on Prosecution Coordination pursuant to FY15-16 Proviso 117.110 and FY16-17 Proviso 117.109</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2"/>
  <sheetViews>
    <sheetView zoomScaleNormal="100" workbookViewId="0">
      <pane xSplit="2" ySplit="2" topLeftCell="C3" activePane="bottomRight" state="frozen"/>
      <selection pane="topRight" activeCell="C1" sqref="C1"/>
      <selection pane="bottomLeft" activeCell="A3" sqref="A3"/>
      <selection pane="bottomRight" activeCell="C3" sqref="C3"/>
    </sheetView>
  </sheetViews>
  <sheetFormatPr defaultColWidth="22.140625" defaultRowHeight="12.75" outlineLevelCol="1" x14ac:dyDescent="0.2"/>
  <cols>
    <col min="1" max="1" width="6.7109375" style="77" bestFit="1" customWidth="1"/>
    <col min="2" max="2" width="11.7109375" style="1" bestFit="1" customWidth="1"/>
    <col min="3" max="5" width="14.28515625" style="1" bestFit="1" customWidth="1" outlineLevel="1"/>
    <col min="6" max="6" width="14.28515625" style="35" bestFit="1" customWidth="1" outlineLevel="1"/>
    <col min="7" max="9" width="14.28515625" style="1" bestFit="1" customWidth="1" outlineLevel="1"/>
    <col min="10" max="10" width="16" style="142" customWidth="1" outlineLevel="1"/>
    <col min="11" max="11" width="5" style="1" customWidth="1"/>
    <col min="12" max="12" width="14.28515625" style="1" bestFit="1" customWidth="1" outlineLevel="1"/>
    <col min="13" max="13" width="11.7109375" style="35" bestFit="1" customWidth="1" outlineLevel="1"/>
    <col min="14" max="14" width="15.42578125" style="1" bestFit="1" customWidth="1" outlineLevel="1"/>
    <col min="15" max="15" width="14.28515625" style="1" bestFit="1" customWidth="1" outlineLevel="1"/>
    <col min="16" max="16" width="13.28515625" style="1" bestFit="1" customWidth="1" outlineLevel="1"/>
    <col min="17" max="17" width="14.28515625" style="1" bestFit="1" customWidth="1" outlineLevel="1"/>
    <col min="18" max="18" width="19.7109375" style="142" customWidth="1" outlineLevel="1"/>
    <col min="19" max="256" width="22.140625" style="1"/>
    <col min="257" max="257" width="7.140625" style="1" customWidth="1"/>
    <col min="258" max="258" width="11.7109375" style="1" bestFit="1" customWidth="1"/>
    <col min="259" max="259" width="20.85546875" style="1" bestFit="1" customWidth="1"/>
    <col min="260" max="260" width="19.85546875" style="1" bestFit="1" customWidth="1"/>
    <col min="261" max="261" width="15.85546875" style="1" customWidth="1"/>
    <col min="262" max="262" width="17.7109375" style="1" bestFit="1" customWidth="1"/>
    <col min="263" max="263" width="16.28515625" style="1" bestFit="1" customWidth="1"/>
    <col min="264" max="264" width="14.85546875" style="1" customWidth="1"/>
    <col min="265" max="265" width="20.5703125" style="1" bestFit="1" customWidth="1"/>
    <col min="266" max="266" width="37.140625" style="1" customWidth="1"/>
    <col min="267" max="267" width="4.5703125" style="1" bestFit="1" customWidth="1"/>
    <col min="268" max="268" width="4.7109375" style="1" bestFit="1" customWidth="1"/>
    <col min="269" max="270" width="8.5703125" style="1" bestFit="1" customWidth="1"/>
    <col min="271" max="271" width="9.5703125" style="1" bestFit="1" customWidth="1"/>
    <col min="272" max="512" width="22.140625" style="1"/>
    <col min="513" max="513" width="7.140625" style="1" customWidth="1"/>
    <col min="514" max="514" width="11.7109375" style="1" bestFit="1" customWidth="1"/>
    <col min="515" max="515" width="20.85546875" style="1" bestFit="1" customWidth="1"/>
    <col min="516" max="516" width="19.85546875" style="1" bestFit="1" customWidth="1"/>
    <col min="517" max="517" width="15.85546875" style="1" customWidth="1"/>
    <col min="518" max="518" width="17.7109375" style="1" bestFit="1" customWidth="1"/>
    <col min="519" max="519" width="16.28515625" style="1" bestFit="1" customWidth="1"/>
    <col min="520" max="520" width="14.85546875" style="1" customWidth="1"/>
    <col min="521" max="521" width="20.5703125" style="1" bestFit="1" customWidth="1"/>
    <col min="522" max="522" width="37.140625" style="1" customWidth="1"/>
    <col min="523" max="523" width="4.5703125" style="1" bestFit="1" customWidth="1"/>
    <col min="524" max="524" width="4.7109375" style="1" bestFit="1" customWidth="1"/>
    <col min="525" max="526" width="8.5703125" style="1" bestFit="1" customWidth="1"/>
    <col min="527" max="527" width="9.5703125" style="1" bestFit="1" customWidth="1"/>
    <col min="528" max="768" width="22.140625" style="1"/>
    <col min="769" max="769" width="7.140625" style="1" customWidth="1"/>
    <col min="770" max="770" width="11.7109375" style="1" bestFit="1" customWidth="1"/>
    <col min="771" max="771" width="20.85546875" style="1" bestFit="1" customWidth="1"/>
    <col min="772" max="772" width="19.85546875" style="1" bestFit="1" customWidth="1"/>
    <col min="773" max="773" width="15.85546875" style="1" customWidth="1"/>
    <col min="774" max="774" width="17.7109375" style="1" bestFit="1" customWidth="1"/>
    <col min="775" max="775" width="16.28515625" style="1" bestFit="1" customWidth="1"/>
    <col min="776" max="776" width="14.85546875" style="1" customWidth="1"/>
    <col min="777" max="777" width="20.5703125" style="1" bestFit="1" customWidth="1"/>
    <col min="778" max="778" width="37.140625" style="1" customWidth="1"/>
    <col min="779" max="779" width="4.5703125" style="1" bestFit="1" customWidth="1"/>
    <col min="780" max="780" width="4.7109375" style="1" bestFit="1" customWidth="1"/>
    <col min="781" max="782" width="8.5703125" style="1" bestFit="1" customWidth="1"/>
    <col min="783" max="783" width="9.5703125" style="1" bestFit="1" customWidth="1"/>
    <col min="784" max="1024" width="22.140625" style="1"/>
    <col min="1025" max="1025" width="7.140625" style="1" customWidth="1"/>
    <col min="1026" max="1026" width="11.7109375" style="1" bestFit="1" customWidth="1"/>
    <col min="1027" max="1027" width="20.85546875" style="1" bestFit="1" customWidth="1"/>
    <col min="1028" max="1028" width="19.85546875" style="1" bestFit="1" customWidth="1"/>
    <col min="1029" max="1029" width="15.85546875" style="1" customWidth="1"/>
    <col min="1030" max="1030" width="17.7109375" style="1" bestFit="1" customWidth="1"/>
    <col min="1031" max="1031" width="16.28515625" style="1" bestFit="1" customWidth="1"/>
    <col min="1032" max="1032" width="14.85546875" style="1" customWidth="1"/>
    <col min="1033" max="1033" width="20.5703125" style="1" bestFit="1" customWidth="1"/>
    <col min="1034" max="1034" width="37.140625" style="1" customWidth="1"/>
    <col min="1035" max="1035" width="4.5703125" style="1" bestFit="1" customWidth="1"/>
    <col min="1036" max="1036" width="4.7109375" style="1" bestFit="1" customWidth="1"/>
    <col min="1037" max="1038" width="8.5703125" style="1" bestFit="1" customWidth="1"/>
    <col min="1039" max="1039" width="9.5703125" style="1" bestFit="1" customWidth="1"/>
    <col min="1040" max="1280" width="22.140625" style="1"/>
    <col min="1281" max="1281" width="7.140625" style="1" customWidth="1"/>
    <col min="1282" max="1282" width="11.7109375" style="1" bestFit="1" customWidth="1"/>
    <col min="1283" max="1283" width="20.85546875" style="1" bestFit="1" customWidth="1"/>
    <col min="1284" max="1284" width="19.85546875" style="1" bestFit="1" customWidth="1"/>
    <col min="1285" max="1285" width="15.85546875" style="1" customWidth="1"/>
    <col min="1286" max="1286" width="17.7109375" style="1" bestFit="1" customWidth="1"/>
    <col min="1287" max="1287" width="16.28515625" style="1" bestFit="1" customWidth="1"/>
    <col min="1288" max="1288" width="14.85546875" style="1" customWidth="1"/>
    <col min="1289" max="1289" width="20.5703125" style="1" bestFit="1" customWidth="1"/>
    <col min="1290" max="1290" width="37.140625" style="1" customWidth="1"/>
    <col min="1291" max="1291" width="4.5703125" style="1" bestFit="1" customWidth="1"/>
    <col min="1292" max="1292" width="4.7109375" style="1" bestFit="1" customWidth="1"/>
    <col min="1293" max="1294" width="8.5703125" style="1" bestFit="1" customWidth="1"/>
    <col min="1295" max="1295" width="9.5703125" style="1" bestFit="1" customWidth="1"/>
    <col min="1296" max="1536" width="22.140625" style="1"/>
    <col min="1537" max="1537" width="7.140625" style="1" customWidth="1"/>
    <col min="1538" max="1538" width="11.7109375" style="1" bestFit="1" customWidth="1"/>
    <col min="1539" max="1539" width="20.85546875" style="1" bestFit="1" customWidth="1"/>
    <col min="1540" max="1540" width="19.85546875" style="1" bestFit="1" customWidth="1"/>
    <col min="1541" max="1541" width="15.85546875" style="1" customWidth="1"/>
    <col min="1542" max="1542" width="17.7109375" style="1" bestFit="1" customWidth="1"/>
    <col min="1543" max="1543" width="16.28515625" style="1" bestFit="1" customWidth="1"/>
    <col min="1544" max="1544" width="14.85546875" style="1" customWidth="1"/>
    <col min="1545" max="1545" width="20.5703125" style="1" bestFit="1" customWidth="1"/>
    <col min="1546" max="1546" width="37.140625" style="1" customWidth="1"/>
    <col min="1547" max="1547" width="4.5703125" style="1" bestFit="1" customWidth="1"/>
    <col min="1548" max="1548" width="4.7109375" style="1" bestFit="1" customWidth="1"/>
    <col min="1549" max="1550" width="8.5703125" style="1" bestFit="1" customWidth="1"/>
    <col min="1551" max="1551" width="9.5703125" style="1" bestFit="1" customWidth="1"/>
    <col min="1552" max="1792" width="22.140625" style="1"/>
    <col min="1793" max="1793" width="7.140625" style="1" customWidth="1"/>
    <col min="1794" max="1794" width="11.7109375" style="1" bestFit="1" customWidth="1"/>
    <col min="1795" max="1795" width="20.85546875" style="1" bestFit="1" customWidth="1"/>
    <col min="1796" max="1796" width="19.85546875" style="1" bestFit="1" customWidth="1"/>
    <col min="1797" max="1797" width="15.85546875" style="1" customWidth="1"/>
    <col min="1798" max="1798" width="17.7109375" style="1" bestFit="1" customWidth="1"/>
    <col min="1799" max="1799" width="16.28515625" style="1" bestFit="1" customWidth="1"/>
    <col min="1800" max="1800" width="14.85546875" style="1" customWidth="1"/>
    <col min="1801" max="1801" width="20.5703125" style="1" bestFit="1" customWidth="1"/>
    <col min="1802" max="1802" width="37.140625" style="1" customWidth="1"/>
    <col min="1803" max="1803" width="4.5703125" style="1" bestFit="1" customWidth="1"/>
    <col min="1804" max="1804" width="4.7109375" style="1" bestFit="1" customWidth="1"/>
    <col min="1805" max="1806" width="8.5703125" style="1" bestFit="1" customWidth="1"/>
    <col min="1807" max="1807" width="9.5703125" style="1" bestFit="1" customWidth="1"/>
    <col min="1808" max="2048" width="22.140625" style="1"/>
    <col min="2049" max="2049" width="7.140625" style="1" customWidth="1"/>
    <col min="2050" max="2050" width="11.7109375" style="1" bestFit="1" customWidth="1"/>
    <col min="2051" max="2051" width="20.85546875" style="1" bestFit="1" customWidth="1"/>
    <col min="2052" max="2052" width="19.85546875" style="1" bestFit="1" customWidth="1"/>
    <col min="2053" max="2053" width="15.85546875" style="1" customWidth="1"/>
    <col min="2054" max="2054" width="17.7109375" style="1" bestFit="1" customWidth="1"/>
    <col min="2055" max="2055" width="16.28515625" style="1" bestFit="1" customWidth="1"/>
    <col min="2056" max="2056" width="14.85546875" style="1" customWidth="1"/>
    <col min="2057" max="2057" width="20.5703125" style="1" bestFit="1" customWidth="1"/>
    <col min="2058" max="2058" width="37.140625" style="1" customWidth="1"/>
    <col min="2059" max="2059" width="4.5703125" style="1" bestFit="1" customWidth="1"/>
    <col min="2060" max="2060" width="4.7109375" style="1" bestFit="1" customWidth="1"/>
    <col min="2061" max="2062" width="8.5703125" style="1" bestFit="1" customWidth="1"/>
    <col min="2063" max="2063" width="9.5703125" style="1" bestFit="1" customWidth="1"/>
    <col min="2064" max="2304" width="22.140625" style="1"/>
    <col min="2305" max="2305" width="7.140625" style="1" customWidth="1"/>
    <col min="2306" max="2306" width="11.7109375" style="1" bestFit="1" customWidth="1"/>
    <col min="2307" max="2307" width="20.85546875" style="1" bestFit="1" customWidth="1"/>
    <col min="2308" max="2308" width="19.85546875" style="1" bestFit="1" customWidth="1"/>
    <col min="2309" max="2309" width="15.85546875" style="1" customWidth="1"/>
    <col min="2310" max="2310" width="17.7109375" style="1" bestFit="1" customWidth="1"/>
    <col min="2311" max="2311" width="16.28515625" style="1" bestFit="1" customWidth="1"/>
    <col min="2312" max="2312" width="14.85546875" style="1" customWidth="1"/>
    <col min="2313" max="2313" width="20.5703125" style="1" bestFit="1" customWidth="1"/>
    <col min="2314" max="2314" width="37.140625" style="1" customWidth="1"/>
    <col min="2315" max="2315" width="4.5703125" style="1" bestFit="1" customWidth="1"/>
    <col min="2316" max="2316" width="4.7109375" style="1" bestFit="1" customWidth="1"/>
    <col min="2317" max="2318" width="8.5703125" style="1" bestFit="1" customWidth="1"/>
    <col min="2319" max="2319" width="9.5703125" style="1" bestFit="1" customWidth="1"/>
    <col min="2320" max="2560" width="22.140625" style="1"/>
    <col min="2561" max="2561" width="7.140625" style="1" customWidth="1"/>
    <col min="2562" max="2562" width="11.7109375" style="1" bestFit="1" customWidth="1"/>
    <col min="2563" max="2563" width="20.85546875" style="1" bestFit="1" customWidth="1"/>
    <col min="2564" max="2564" width="19.85546875" style="1" bestFit="1" customWidth="1"/>
    <col min="2565" max="2565" width="15.85546875" style="1" customWidth="1"/>
    <col min="2566" max="2566" width="17.7109375" style="1" bestFit="1" customWidth="1"/>
    <col min="2567" max="2567" width="16.28515625" style="1" bestFit="1" customWidth="1"/>
    <col min="2568" max="2568" width="14.85546875" style="1" customWidth="1"/>
    <col min="2569" max="2569" width="20.5703125" style="1" bestFit="1" customWidth="1"/>
    <col min="2570" max="2570" width="37.140625" style="1" customWidth="1"/>
    <col min="2571" max="2571" width="4.5703125" style="1" bestFit="1" customWidth="1"/>
    <col min="2572" max="2572" width="4.7109375" style="1" bestFit="1" customWidth="1"/>
    <col min="2573" max="2574" width="8.5703125" style="1" bestFit="1" customWidth="1"/>
    <col min="2575" max="2575" width="9.5703125" style="1" bestFit="1" customWidth="1"/>
    <col min="2576" max="2816" width="22.140625" style="1"/>
    <col min="2817" max="2817" width="7.140625" style="1" customWidth="1"/>
    <col min="2818" max="2818" width="11.7109375" style="1" bestFit="1" customWidth="1"/>
    <col min="2819" max="2819" width="20.85546875" style="1" bestFit="1" customWidth="1"/>
    <col min="2820" max="2820" width="19.85546875" style="1" bestFit="1" customWidth="1"/>
    <col min="2821" max="2821" width="15.85546875" style="1" customWidth="1"/>
    <col min="2822" max="2822" width="17.7109375" style="1" bestFit="1" customWidth="1"/>
    <col min="2823" max="2823" width="16.28515625" style="1" bestFit="1" customWidth="1"/>
    <col min="2824" max="2824" width="14.85546875" style="1" customWidth="1"/>
    <col min="2825" max="2825" width="20.5703125" style="1" bestFit="1" customWidth="1"/>
    <col min="2826" max="2826" width="37.140625" style="1" customWidth="1"/>
    <col min="2827" max="2827" width="4.5703125" style="1" bestFit="1" customWidth="1"/>
    <col min="2828" max="2828" width="4.7109375" style="1" bestFit="1" customWidth="1"/>
    <col min="2829" max="2830" width="8.5703125" style="1" bestFit="1" customWidth="1"/>
    <col min="2831" max="2831" width="9.5703125" style="1" bestFit="1" customWidth="1"/>
    <col min="2832" max="3072" width="22.140625" style="1"/>
    <col min="3073" max="3073" width="7.140625" style="1" customWidth="1"/>
    <col min="3074" max="3074" width="11.7109375" style="1" bestFit="1" customWidth="1"/>
    <col min="3075" max="3075" width="20.85546875" style="1" bestFit="1" customWidth="1"/>
    <col min="3076" max="3076" width="19.85546875" style="1" bestFit="1" customWidth="1"/>
    <col min="3077" max="3077" width="15.85546875" style="1" customWidth="1"/>
    <col min="3078" max="3078" width="17.7109375" style="1" bestFit="1" customWidth="1"/>
    <col min="3079" max="3079" width="16.28515625" style="1" bestFit="1" customWidth="1"/>
    <col min="3080" max="3080" width="14.85546875" style="1" customWidth="1"/>
    <col min="3081" max="3081" width="20.5703125" style="1" bestFit="1" customWidth="1"/>
    <col min="3082" max="3082" width="37.140625" style="1" customWidth="1"/>
    <col min="3083" max="3083" width="4.5703125" style="1" bestFit="1" customWidth="1"/>
    <col min="3084" max="3084" width="4.7109375" style="1" bestFit="1" customWidth="1"/>
    <col min="3085" max="3086" width="8.5703125" style="1" bestFit="1" customWidth="1"/>
    <col min="3087" max="3087" width="9.5703125" style="1" bestFit="1" customWidth="1"/>
    <col min="3088" max="3328" width="22.140625" style="1"/>
    <col min="3329" max="3329" width="7.140625" style="1" customWidth="1"/>
    <col min="3330" max="3330" width="11.7109375" style="1" bestFit="1" customWidth="1"/>
    <col min="3331" max="3331" width="20.85546875" style="1" bestFit="1" customWidth="1"/>
    <col min="3332" max="3332" width="19.85546875" style="1" bestFit="1" customWidth="1"/>
    <col min="3333" max="3333" width="15.85546875" style="1" customWidth="1"/>
    <col min="3334" max="3334" width="17.7109375" style="1" bestFit="1" customWidth="1"/>
    <col min="3335" max="3335" width="16.28515625" style="1" bestFit="1" customWidth="1"/>
    <col min="3336" max="3336" width="14.85546875" style="1" customWidth="1"/>
    <col min="3337" max="3337" width="20.5703125" style="1" bestFit="1" customWidth="1"/>
    <col min="3338" max="3338" width="37.140625" style="1" customWidth="1"/>
    <col min="3339" max="3339" width="4.5703125" style="1" bestFit="1" customWidth="1"/>
    <col min="3340" max="3340" width="4.7109375" style="1" bestFit="1" customWidth="1"/>
    <col min="3341" max="3342" width="8.5703125" style="1" bestFit="1" customWidth="1"/>
    <col min="3343" max="3343" width="9.5703125" style="1" bestFit="1" customWidth="1"/>
    <col min="3344" max="3584" width="22.140625" style="1"/>
    <col min="3585" max="3585" width="7.140625" style="1" customWidth="1"/>
    <col min="3586" max="3586" width="11.7109375" style="1" bestFit="1" customWidth="1"/>
    <col min="3587" max="3587" width="20.85546875" style="1" bestFit="1" customWidth="1"/>
    <col min="3588" max="3588" width="19.85546875" style="1" bestFit="1" customWidth="1"/>
    <col min="3589" max="3589" width="15.85546875" style="1" customWidth="1"/>
    <col min="3590" max="3590" width="17.7109375" style="1" bestFit="1" customWidth="1"/>
    <col min="3591" max="3591" width="16.28515625" style="1" bestFit="1" customWidth="1"/>
    <col min="3592" max="3592" width="14.85546875" style="1" customWidth="1"/>
    <col min="3593" max="3593" width="20.5703125" style="1" bestFit="1" customWidth="1"/>
    <col min="3594" max="3594" width="37.140625" style="1" customWidth="1"/>
    <col min="3595" max="3595" width="4.5703125" style="1" bestFit="1" customWidth="1"/>
    <col min="3596" max="3596" width="4.7109375" style="1" bestFit="1" customWidth="1"/>
    <col min="3597" max="3598" width="8.5703125" style="1" bestFit="1" customWidth="1"/>
    <col min="3599" max="3599" width="9.5703125" style="1" bestFit="1" customWidth="1"/>
    <col min="3600" max="3840" width="22.140625" style="1"/>
    <col min="3841" max="3841" width="7.140625" style="1" customWidth="1"/>
    <col min="3842" max="3842" width="11.7109375" style="1" bestFit="1" customWidth="1"/>
    <col min="3843" max="3843" width="20.85546875" style="1" bestFit="1" customWidth="1"/>
    <col min="3844" max="3844" width="19.85546875" style="1" bestFit="1" customWidth="1"/>
    <col min="3845" max="3845" width="15.85546875" style="1" customWidth="1"/>
    <col min="3846" max="3846" width="17.7109375" style="1" bestFit="1" customWidth="1"/>
    <col min="3847" max="3847" width="16.28515625" style="1" bestFit="1" customWidth="1"/>
    <col min="3848" max="3848" width="14.85546875" style="1" customWidth="1"/>
    <col min="3849" max="3849" width="20.5703125" style="1" bestFit="1" customWidth="1"/>
    <col min="3850" max="3850" width="37.140625" style="1" customWidth="1"/>
    <col min="3851" max="3851" width="4.5703125" style="1" bestFit="1" customWidth="1"/>
    <col min="3852" max="3852" width="4.7109375" style="1" bestFit="1" customWidth="1"/>
    <col min="3853" max="3854" width="8.5703125" style="1" bestFit="1" customWidth="1"/>
    <col min="3855" max="3855" width="9.5703125" style="1" bestFit="1" customWidth="1"/>
    <col min="3856" max="4096" width="22.140625" style="1"/>
    <col min="4097" max="4097" width="7.140625" style="1" customWidth="1"/>
    <col min="4098" max="4098" width="11.7109375" style="1" bestFit="1" customWidth="1"/>
    <col min="4099" max="4099" width="20.85546875" style="1" bestFit="1" customWidth="1"/>
    <col min="4100" max="4100" width="19.85546875" style="1" bestFit="1" customWidth="1"/>
    <col min="4101" max="4101" width="15.85546875" style="1" customWidth="1"/>
    <col min="4102" max="4102" width="17.7109375" style="1" bestFit="1" customWidth="1"/>
    <col min="4103" max="4103" width="16.28515625" style="1" bestFit="1" customWidth="1"/>
    <col min="4104" max="4104" width="14.85546875" style="1" customWidth="1"/>
    <col min="4105" max="4105" width="20.5703125" style="1" bestFit="1" customWidth="1"/>
    <col min="4106" max="4106" width="37.140625" style="1" customWidth="1"/>
    <col min="4107" max="4107" width="4.5703125" style="1" bestFit="1" customWidth="1"/>
    <col min="4108" max="4108" width="4.7109375" style="1" bestFit="1" customWidth="1"/>
    <col min="4109" max="4110" width="8.5703125" style="1" bestFit="1" customWidth="1"/>
    <col min="4111" max="4111" width="9.5703125" style="1" bestFit="1" customWidth="1"/>
    <col min="4112" max="4352" width="22.140625" style="1"/>
    <col min="4353" max="4353" width="7.140625" style="1" customWidth="1"/>
    <col min="4354" max="4354" width="11.7109375" style="1" bestFit="1" customWidth="1"/>
    <col min="4355" max="4355" width="20.85546875" style="1" bestFit="1" customWidth="1"/>
    <col min="4356" max="4356" width="19.85546875" style="1" bestFit="1" customWidth="1"/>
    <col min="4357" max="4357" width="15.85546875" style="1" customWidth="1"/>
    <col min="4358" max="4358" width="17.7109375" style="1" bestFit="1" customWidth="1"/>
    <col min="4359" max="4359" width="16.28515625" style="1" bestFit="1" customWidth="1"/>
    <col min="4360" max="4360" width="14.85546875" style="1" customWidth="1"/>
    <col min="4361" max="4361" width="20.5703125" style="1" bestFit="1" customWidth="1"/>
    <col min="4362" max="4362" width="37.140625" style="1" customWidth="1"/>
    <col min="4363" max="4363" width="4.5703125" style="1" bestFit="1" customWidth="1"/>
    <col min="4364" max="4364" width="4.7109375" style="1" bestFit="1" customWidth="1"/>
    <col min="4365" max="4366" width="8.5703125" style="1" bestFit="1" customWidth="1"/>
    <col min="4367" max="4367" width="9.5703125" style="1" bestFit="1" customWidth="1"/>
    <col min="4368" max="4608" width="22.140625" style="1"/>
    <col min="4609" max="4609" width="7.140625" style="1" customWidth="1"/>
    <col min="4610" max="4610" width="11.7109375" style="1" bestFit="1" customWidth="1"/>
    <col min="4611" max="4611" width="20.85546875" style="1" bestFit="1" customWidth="1"/>
    <col min="4612" max="4612" width="19.85546875" style="1" bestFit="1" customWidth="1"/>
    <col min="4613" max="4613" width="15.85546875" style="1" customWidth="1"/>
    <col min="4614" max="4614" width="17.7109375" style="1" bestFit="1" customWidth="1"/>
    <col min="4615" max="4615" width="16.28515625" style="1" bestFit="1" customWidth="1"/>
    <col min="4616" max="4616" width="14.85546875" style="1" customWidth="1"/>
    <col min="4617" max="4617" width="20.5703125" style="1" bestFit="1" customWidth="1"/>
    <col min="4618" max="4618" width="37.140625" style="1" customWidth="1"/>
    <col min="4619" max="4619" width="4.5703125" style="1" bestFit="1" customWidth="1"/>
    <col min="4620" max="4620" width="4.7109375" style="1" bestFit="1" customWidth="1"/>
    <col min="4621" max="4622" width="8.5703125" style="1" bestFit="1" customWidth="1"/>
    <col min="4623" max="4623" width="9.5703125" style="1" bestFit="1" customWidth="1"/>
    <col min="4624" max="4864" width="22.140625" style="1"/>
    <col min="4865" max="4865" width="7.140625" style="1" customWidth="1"/>
    <col min="4866" max="4866" width="11.7109375" style="1" bestFit="1" customWidth="1"/>
    <col min="4867" max="4867" width="20.85546875" style="1" bestFit="1" customWidth="1"/>
    <col min="4868" max="4868" width="19.85546875" style="1" bestFit="1" customWidth="1"/>
    <col min="4869" max="4869" width="15.85546875" style="1" customWidth="1"/>
    <col min="4870" max="4870" width="17.7109375" style="1" bestFit="1" customWidth="1"/>
    <col min="4871" max="4871" width="16.28515625" style="1" bestFit="1" customWidth="1"/>
    <col min="4872" max="4872" width="14.85546875" style="1" customWidth="1"/>
    <col min="4873" max="4873" width="20.5703125" style="1" bestFit="1" customWidth="1"/>
    <col min="4874" max="4874" width="37.140625" style="1" customWidth="1"/>
    <col min="4875" max="4875" width="4.5703125" style="1" bestFit="1" customWidth="1"/>
    <col min="4876" max="4876" width="4.7109375" style="1" bestFit="1" customWidth="1"/>
    <col min="4877" max="4878" width="8.5703125" style="1" bestFit="1" customWidth="1"/>
    <col min="4879" max="4879" width="9.5703125" style="1" bestFit="1" customWidth="1"/>
    <col min="4880" max="5120" width="22.140625" style="1"/>
    <col min="5121" max="5121" width="7.140625" style="1" customWidth="1"/>
    <col min="5122" max="5122" width="11.7109375" style="1" bestFit="1" customWidth="1"/>
    <col min="5123" max="5123" width="20.85546875" style="1" bestFit="1" customWidth="1"/>
    <col min="5124" max="5124" width="19.85546875" style="1" bestFit="1" customWidth="1"/>
    <col min="5125" max="5125" width="15.85546875" style="1" customWidth="1"/>
    <col min="5126" max="5126" width="17.7109375" style="1" bestFit="1" customWidth="1"/>
    <col min="5127" max="5127" width="16.28515625" style="1" bestFit="1" customWidth="1"/>
    <col min="5128" max="5128" width="14.85546875" style="1" customWidth="1"/>
    <col min="5129" max="5129" width="20.5703125" style="1" bestFit="1" customWidth="1"/>
    <col min="5130" max="5130" width="37.140625" style="1" customWidth="1"/>
    <col min="5131" max="5131" width="4.5703125" style="1" bestFit="1" customWidth="1"/>
    <col min="5132" max="5132" width="4.7109375" style="1" bestFit="1" customWidth="1"/>
    <col min="5133" max="5134" width="8.5703125" style="1" bestFit="1" customWidth="1"/>
    <col min="5135" max="5135" width="9.5703125" style="1" bestFit="1" customWidth="1"/>
    <col min="5136" max="5376" width="22.140625" style="1"/>
    <col min="5377" max="5377" width="7.140625" style="1" customWidth="1"/>
    <col min="5378" max="5378" width="11.7109375" style="1" bestFit="1" customWidth="1"/>
    <col min="5379" max="5379" width="20.85546875" style="1" bestFit="1" customWidth="1"/>
    <col min="5380" max="5380" width="19.85546875" style="1" bestFit="1" customWidth="1"/>
    <col min="5381" max="5381" width="15.85546875" style="1" customWidth="1"/>
    <col min="5382" max="5382" width="17.7109375" style="1" bestFit="1" customWidth="1"/>
    <col min="5383" max="5383" width="16.28515625" style="1" bestFit="1" customWidth="1"/>
    <col min="5384" max="5384" width="14.85546875" style="1" customWidth="1"/>
    <col min="5385" max="5385" width="20.5703125" style="1" bestFit="1" customWidth="1"/>
    <col min="5386" max="5386" width="37.140625" style="1" customWidth="1"/>
    <col min="5387" max="5387" width="4.5703125" style="1" bestFit="1" customWidth="1"/>
    <col min="5388" max="5388" width="4.7109375" style="1" bestFit="1" customWidth="1"/>
    <col min="5389" max="5390" width="8.5703125" style="1" bestFit="1" customWidth="1"/>
    <col min="5391" max="5391" width="9.5703125" style="1" bestFit="1" customWidth="1"/>
    <col min="5392" max="5632" width="22.140625" style="1"/>
    <col min="5633" max="5633" width="7.140625" style="1" customWidth="1"/>
    <col min="5634" max="5634" width="11.7109375" style="1" bestFit="1" customWidth="1"/>
    <col min="5635" max="5635" width="20.85546875" style="1" bestFit="1" customWidth="1"/>
    <col min="5636" max="5636" width="19.85546875" style="1" bestFit="1" customWidth="1"/>
    <col min="5637" max="5637" width="15.85546875" style="1" customWidth="1"/>
    <col min="5638" max="5638" width="17.7109375" style="1" bestFit="1" customWidth="1"/>
    <col min="5639" max="5639" width="16.28515625" style="1" bestFit="1" customWidth="1"/>
    <col min="5640" max="5640" width="14.85546875" style="1" customWidth="1"/>
    <col min="5641" max="5641" width="20.5703125" style="1" bestFit="1" customWidth="1"/>
    <col min="5642" max="5642" width="37.140625" style="1" customWidth="1"/>
    <col min="5643" max="5643" width="4.5703125" style="1" bestFit="1" customWidth="1"/>
    <col min="5644" max="5644" width="4.7109375" style="1" bestFit="1" customWidth="1"/>
    <col min="5645" max="5646" width="8.5703125" style="1" bestFit="1" customWidth="1"/>
    <col min="5647" max="5647" width="9.5703125" style="1" bestFit="1" customWidth="1"/>
    <col min="5648" max="5888" width="22.140625" style="1"/>
    <col min="5889" max="5889" width="7.140625" style="1" customWidth="1"/>
    <col min="5890" max="5890" width="11.7109375" style="1" bestFit="1" customWidth="1"/>
    <col min="5891" max="5891" width="20.85546875" style="1" bestFit="1" customWidth="1"/>
    <col min="5892" max="5892" width="19.85546875" style="1" bestFit="1" customWidth="1"/>
    <col min="5893" max="5893" width="15.85546875" style="1" customWidth="1"/>
    <col min="5894" max="5894" width="17.7109375" style="1" bestFit="1" customWidth="1"/>
    <col min="5895" max="5895" width="16.28515625" style="1" bestFit="1" customWidth="1"/>
    <col min="5896" max="5896" width="14.85546875" style="1" customWidth="1"/>
    <col min="5897" max="5897" width="20.5703125" style="1" bestFit="1" customWidth="1"/>
    <col min="5898" max="5898" width="37.140625" style="1" customWidth="1"/>
    <col min="5899" max="5899" width="4.5703125" style="1" bestFit="1" customWidth="1"/>
    <col min="5900" max="5900" width="4.7109375" style="1" bestFit="1" customWidth="1"/>
    <col min="5901" max="5902" width="8.5703125" style="1" bestFit="1" customWidth="1"/>
    <col min="5903" max="5903" width="9.5703125" style="1" bestFit="1" customWidth="1"/>
    <col min="5904" max="6144" width="22.140625" style="1"/>
    <col min="6145" max="6145" width="7.140625" style="1" customWidth="1"/>
    <col min="6146" max="6146" width="11.7109375" style="1" bestFit="1" customWidth="1"/>
    <col min="6147" max="6147" width="20.85546875" style="1" bestFit="1" customWidth="1"/>
    <col min="6148" max="6148" width="19.85546875" style="1" bestFit="1" customWidth="1"/>
    <col min="6149" max="6149" width="15.85546875" style="1" customWidth="1"/>
    <col min="6150" max="6150" width="17.7109375" style="1" bestFit="1" customWidth="1"/>
    <col min="6151" max="6151" width="16.28515625" style="1" bestFit="1" customWidth="1"/>
    <col min="6152" max="6152" width="14.85546875" style="1" customWidth="1"/>
    <col min="6153" max="6153" width="20.5703125" style="1" bestFit="1" customWidth="1"/>
    <col min="6154" max="6154" width="37.140625" style="1" customWidth="1"/>
    <col min="6155" max="6155" width="4.5703125" style="1" bestFit="1" customWidth="1"/>
    <col min="6156" max="6156" width="4.7109375" style="1" bestFit="1" customWidth="1"/>
    <col min="6157" max="6158" width="8.5703125" style="1" bestFit="1" customWidth="1"/>
    <col min="6159" max="6159" width="9.5703125" style="1" bestFit="1" customWidth="1"/>
    <col min="6160" max="6400" width="22.140625" style="1"/>
    <col min="6401" max="6401" width="7.140625" style="1" customWidth="1"/>
    <col min="6402" max="6402" width="11.7109375" style="1" bestFit="1" customWidth="1"/>
    <col min="6403" max="6403" width="20.85546875" style="1" bestFit="1" customWidth="1"/>
    <col min="6404" max="6404" width="19.85546875" style="1" bestFit="1" customWidth="1"/>
    <col min="6405" max="6405" width="15.85546875" style="1" customWidth="1"/>
    <col min="6406" max="6406" width="17.7109375" style="1" bestFit="1" customWidth="1"/>
    <col min="6407" max="6407" width="16.28515625" style="1" bestFit="1" customWidth="1"/>
    <col min="6408" max="6408" width="14.85546875" style="1" customWidth="1"/>
    <col min="6409" max="6409" width="20.5703125" style="1" bestFit="1" customWidth="1"/>
    <col min="6410" max="6410" width="37.140625" style="1" customWidth="1"/>
    <col min="6411" max="6411" width="4.5703125" style="1" bestFit="1" customWidth="1"/>
    <col min="6412" max="6412" width="4.7109375" style="1" bestFit="1" customWidth="1"/>
    <col min="6413" max="6414" width="8.5703125" style="1" bestFit="1" customWidth="1"/>
    <col min="6415" max="6415" width="9.5703125" style="1" bestFit="1" customWidth="1"/>
    <col min="6416" max="6656" width="22.140625" style="1"/>
    <col min="6657" max="6657" width="7.140625" style="1" customWidth="1"/>
    <col min="6658" max="6658" width="11.7109375" style="1" bestFit="1" customWidth="1"/>
    <col min="6659" max="6659" width="20.85546875" style="1" bestFit="1" customWidth="1"/>
    <col min="6660" max="6660" width="19.85546875" style="1" bestFit="1" customWidth="1"/>
    <col min="6661" max="6661" width="15.85546875" style="1" customWidth="1"/>
    <col min="6662" max="6662" width="17.7109375" style="1" bestFit="1" customWidth="1"/>
    <col min="6663" max="6663" width="16.28515625" style="1" bestFit="1" customWidth="1"/>
    <col min="6664" max="6664" width="14.85546875" style="1" customWidth="1"/>
    <col min="6665" max="6665" width="20.5703125" style="1" bestFit="1" customWidth="1"/>
    <col min="6666" max="6666" width="37.140625" style="1" customWidth="1"/>
    <col min="6667" max="6667" width="4.5703125" style="1" bestFit="1" customWidth="1"/>
    <col min="6668" max="6668" width="4.7109375" style="1" bestFit="1" customWidth="1"/>
    <col min="6669" max="6670" width="8.5703125" style="1" bestFit="1" customWidth="1"/>
    <col min="6671" max="6671" width="9.5703125" style="1" bestFit="1" customWidth="1"/>
    <col min="6672" max="6912" width="22.140625" style="1"/>
    <col min="6913" max="6913" width="7.140625" style="1" customWidth="1"/>
    <col min="6914" max="6914" width="11.7109375" style="1" bestFit="1" customWidth="1"/>
    <col min="6915" max="6915" width="20.85546875" style="1" bestFit="1" customWidth="1"/>
    <col min="6916" max="6916" width="19.85546875" style="1" bestFit="1" customWidth="1"/>
    <col min="6917" max="6917" width="15.85546875" style="1" customWidth="1"/>
    <col min="6918" max="6918" width="17.7109375" style="1" bestFit="1" customWidth="1"/>
    <col min="6919" max="6919" width="16.28515625" style="1" bestFit="1" customWidth="1"/>
    <col min="6920" max="6920" width="14.85546875" style="1" customWidth="1"/>
    <col min="6921" max="6921" width="20.5703125" style="1" bestFit="1" customWidth="1"/>
    <col min="6922" max="6922" width="37.140625" style="1" customWidth="1"/>
    <col min="6923" max="6923" width="4.5703125" style="1" bestFit="1" customWidth="1"/>
    <col min="6924" max="6924" width="4.7109375" style="1" bestFit="1" customWidth="1"/>
    <col min="6925" max="6926" width="8.5703125" style="1" bestFit="1" customWidth="1"/>
    <col min="6927" max="6927" width="9.5703125" style="1" bestFit="1" customWidth="1"/>
    <col min="6928" max="7168" width="22.140625" style="1"/>
    <col min="7169" max="7169" width="7.140625" style="1" customWidth="1"/>
    <col min="7170" max="7170" width="11.7109375" style="1" bestFit="1" customWidth="1"/>
    <col min="7171" max="7171" width="20.85546875" style="1" bestFit="1" customWidth="1"/>
    <col min="7172" max="7172" width="19.85546875" style="1" bestFit="1" customWidth="1"/>
    <col min="7173" max="7173" width="15.85546875" style="1" customWidth="1"/>
    <col min="7174" max="7174" width="17.7109375" style="1" bestFit="1" customWidth="1"/>
    <col min="7175" max="7175" width="16.28515625" style="1" bestFit="1" customWidth="1"/>
    <col min="7176" max="7176" width="14.85546875" style="1" customWidth="1"/>
    <col min="7177" max="7177" width="20.5703125" style="1" bestFit="1" customWidth="1"/>
    <col min="7178" max="7178" width="37.140625" style="1" customWidth="1"/>
    <col min="7179" max="7179" width="4.5703125" style="1" bestFit="1" customWidth="1"/>
    <col min="7180" max="7180" width="4.7109375" style="1" bestFit="1" customWidth="1"/>
    <col min="7181" max="7182" width="8.5703125" style="1" bestFit="1" customWidth="1"/>
    <col min="7183" max="7183" width="9.5703125" style="1" bestFit="1" customWidth="1"/>
    <col min="7184" max="7424" width="22.140625" style="1"/>
    <col min="7425" max="7425" width="7.140625" style="1" customWidth="1"/>
    <col min="7426" max="7426" width="11.7109375" style="1" bestFit="1" customWidth="1"/>
    <col min="7427" max="7427" width="20.85546875" style="1" bestFit="1" customWidth="1"/>
    <col min="7428" max="7428" width="19.85546875" style="1" bestFit="1" customWidth="1"/>
    <col min="7429" max="7429" width="15.85546875" style="1" customWidth="1"/>
    <col min="7430" max="7430" width="17.7109375" style="1" bestFit="1" customWidth="1"/>
    <col min="7431" max="7431" width="16.28515625" style="1" bestFit="1" customWidth="1"/>
    <col min="7432" max="7432" width="14.85546875" style="1" customWidth="1"/>
    <col min="7433" max="7433" width="20.5703125" style="1" bestFit="1" customWidth="1"/>
    <col min="7434" max="7434" width="37.140625" style="1" customWidth="1"/>
    <col min="7435" max="7435" width="4.5703125" style="1" bestFit="1" customWidth="1"/>
    <col min="7436" max="7436" width="4.7109375" style="1" bestFit="1" customWidth="1"/>
    <col min="7437" max="7438" width="8.5703125" style="1" bestFit="1" customWidth="1"/>
    <col min="7439" max="7439" width="9.5703125" style="1" bestFit="1" customWidth="1"/>
    <col min="7440" max="7680" width="22.140625" style="1"/>
    <col min="7681" max="7681" width="7.140625" style="1" customWidth="1"/>
    <col min="7682" max="7682" width="11.7109375" style="1" bestFit="1" customWidth="1"/>
    <col min="7683" max="7683" width="20.85546875" style="1" bestFit="1" customWidth="1"/>
    <col min="7684" max="7684" width="19.85546875" style="1" bestFit="1" customWidth="1"/>
    <col min="7685" max="7685" width="15.85546875" style="1" customWidth="1"/>
    <col min="7686" max="7686" width="17.7109375" style="1" bestFit="1" customWidth="1"/>
    <col min="7687" max="7687" width="16.28515625" style="1" bestFit="1" customWidth="1"/>
    <col min="7688" max="7688" width="14.85546875" style="1" customWidth="1"/>
    <col min="7689" max="7689" width="20.5703125" style="1" bestFit="1" customWidth="1"/>
    <col min="7690" max="7690" width="37.140625" style="1" customWidth="1"/>
    <col min="7691" max="7691" width="4.5703125" style="1" bestFit="1" customWidth="1"/>
    <col min="7692" max="7692" width="4.7109375" style="1" bestFit="1" customWidth="1"/>
    <col min="7693" max="7694" width="8.5703125" style="1" bestFit="1" customWidth="1"/>
    <col min="7695" max="7695" width="9.5703125" style="1" bestFit="1" customWidth="1"/>
    <col min="7696" max="7936" width="22.140625" style="1"/>
    <col min="7937" max="7937" width="7.140625" style="1" customWidth="1"/>
    <col min="7938" max="7938" width="11.7109375" style="1" bestFit="1" customWidth="1"/>
    <col min="7939" max="7939" width="20.85546875" style="1" bestFit="1" customWidth="1"/>
    <col min="7940" max="7940" width="19.85546875" style="1" bestFit="1" customWidth="1"/>
    <col min="7941" max="7941" width="15.85546875" style="1" customWidth="1"/>
    <col min="7942" max="7942" width="17.7109375" style="1" bestFit="1" customWidth="1"/>
    <col min="7943" max="7943" width="16.28515625" style="1" bestFit="1" customWidth="1"/>
    <col min="7944" max="7944" width="14.85546875" style="1" customWidth="1"/>
    <col min="7945" max="7945" width="20.5703125" style="1" bestFit="1" customWidth="1"/>
    <col min="7946" max="7946" width="37.140625" style="1" customWidth="1"/>
    <col min="7947" max="7947" width="4.5703125" style="1" bestFit="1" customWidth="1"/>
    <col min="7948" max="7948" width="4.7109375" style="1" bestFit="1" customWidth="1"/>
    <col min="7949" max="7950" width="8.5703125" style="1" bestFit="1" customWidth="1"/>
    <col min="7951" max="7951" width="9.5703125" style="1" bestFit="1" customWidth="1"/>
    <col min="7952" max="8192" width="22.140625" style="1"/>
    <col min="8193" max="8193" width="7.140625" style="1" customWidth="1"/>
    <col min="8194" max="8194" width="11.7109375" style="1" bestFit="1" customWidth="1"/>
    <col min="8195" max="8195" width="20.85546875" style="1" bestFit="1" customWidth="1"/>
    <col min="8196" max="8196" width="19.85546875" style="1" bestFit="1" customWidth="1"/>
    <col min="8197" max="8197" width="15.85546875" style="1" customWidth="1"/>
    <col min="8198" max="8198" width="17.7109375" style="1" bestFit="1" customWidth="1"/>
    <col min="8199" max="8199" width="16.28515625" style="1" bestFit="1" customWidth="1"/>
    <col min="8200" max="8200" width="14.85546875" style="1" customWidth="1"/>
    <col min="8201" max="8201" width="20.5703125" style="1" bestFit="1" customWidth="1"/>
    <col min="8202" max="8202" width="37.140625" style="1" customWidth="1"/>
    <col min="8203" max="8203" width="4.5703125" style="1" bestFit="1" customWidth="1"/>
    <col min="8204" max="8204" width="4.7109375" style="1" bestFit="1" customWidth="1"/>
    <col min="8205" max="8206" width="8.5703125" style="1" bestFit="1" customWidth="1"/>
    <col min="8207" max="8207" width="9.5703125" style="1" bestFit="1" customWidth="1"/>
    <col min="8208" max="8448" width="22.140625" style="1"/>
    <col min="8449" max="8449" width="7.140625" style="1" customWidth="1"/>
    <col min="8450" max="8450" width="11.7109375" style="1" bestFit="1" customWidth="1"/>
    <col min="8451" max="8451" width="20.85546875" style="1" bestFit="1" customWidth="1"/>
    <col min="8452" max="8452" width="19.85546875" style="1" bestFit="1" customWidth="1"/>
    <col min="8453" max="8453" width="15.85546875" style="1" customWidth="1"/>
    <col min="8454" max="8454" width="17.7109375" style="1" bestFit="1" customWidth="1"/>
    <col min="8455" max="8455" width="16.28515625" style="1" bestFit="1" customWidth="1"/>
    <col min="8456" max="8456" width="14.85546875" style="1" customWidth="1"/>
    <col min="8457" max="8457" width="20.5703125" style="1" bestFit="1" customWidth="1"/>
    <col min="8458" max="8458" width="37.140625" style="1" customWidth="1"/>
    <col min="8459" max="8459" width="4.5703125" style="1" bestFit="1" customWidth="1"/>
    <col min="8460" max="8460" width="4.7109375" style="1" bestFit="1" customWidth="1"/>
    <col min="8461" max="8462" width="8.5703125" style="1" bestFit="1" customWidth="1"/>
    <col min="8463" max="8463" width="9.5703125" style="1" bestFit="1" customWidth="1"/>
    <col min="8464" max="8704" width="22.140625" style="1"/>
    <col min="8705" max="8705" width="7.140625" style="1" customWidth="1"/>
    <col min="8706" max="8706" width="11.7109375" style="1" bestFit="1" customWidth="1"/>
    <col min="8707" max="8707" width="20.85546875" style="1" bestFit="1" customWidth="1"/>
    <col min="8708" max="8708" width="19.85546875" style="1" bestFit="1" customWidth="1"/>
    <col min="8709" max="8709" width="15.85546875" style="1" customWidth="1"/>
    <col min="8710" max="8710" width="17.7109375" style="1" bestFit="1" customWidth="1"/>
    <col min="8711" max="8711" width="16.28515625" style="1" bestFit="1" customWidth="1"/>
    <col min="8712" max="8712" width="14.85546875" style="1" customWidth="1"/>
    <col min="8713" max="8713" width="20.5703125" style="1" bestFit="1" customWidth="1"/>
    <col min="8714" max="8714" width="37.140625" style="1" customWidth="1"/>
    <col min="8715" max="8715" width="4.5703125" style="1" bestFit="1" customWidth="1"/>
    <col min="8716" max="8716" width="4.7109375" style="1" bestFit="1" customWidth="1"/>
    <col min="8717" max="8718" width="8.5703125" style="1" bestFit="1" customWidth="1"/>
    <col min="8719" max="8719" width="9.5703125" style="1" bestFit="1" customWidth="1"/>
    <col min="8720" max="8960" width="22.140625" style="1"/>
    <col min="8961" max="8961" width="7.140625" style="1" customWidth="1"/>
    <col min="8962" max="8962" width="11.7109375" style="1" bestFit="1" customWidth="1"/>
    <col min="8963" max="8963" width="20.85546875" style="1" bestFit="1" customWidth="1"/>
    <col min="8964" max="8964" width="19.85546875" style="1" bestFit="1" customWidth="1"/>
    <col min="8965" max="8965" width="15.85546875" style="1" customWidth="1"/>
    <col min="8966" max="8966" width="17.7109375" style="1" bestFit="1" customWidth="1"/>
    <col min="8967" max="8967" width="16.28515625" style="1" bestFit="1" customWidth="1"/>
    <col min="8968" max="8968" width="14.85546875" style="1" customWidth="1"/>
    <col min="8969" max="8969" width="20.5703125" style="1" bestFit="1" customWidth="1"/>
    <col min="8970" max="8970" width="37.140625" style="1" customWidth="1"/>
    <col min="8971" max="8971" width="4.5703125" style="1" bestFit="1" customWidth="1"/>
    <col min="8972" max="8972" width="4.7109375" style="1" bestFit="1" customWidth="1"/>
    <col min="8973" max="8974" width="8.5703125" style="1" bestFit="1" customWidth="1"/>
    <col min="8975" max="8975" width="9.5703125" style="1" bestFit="1" customWidth="1"/>
    <col min="8976" max="9216" width="22.140625" style="1"/>
    <col min="9217" max="9217" width="7.140625" style="1" customWidth="1"/>
    <col min="9218" max="9218" width="11.7109375" style="1" bestFit="1" customWidth="1"/>
    <col min="9219" max="9219" width="20.85546875" style="1" bestFit="1" customWidth="1"/>
    <col min="9220" max="9220" width="19.85546875" style="1" bestFit="1" customWidth="1"/>
    <col min="9221" max="9221" width="15.85546875" style="1" customWidth="1"/>
    <col min="9222" max="9222" width="17.7109375" style="1" bestFit="1" customWidth="1"/>
    <col min="9223" max="9223" width="16.28515625" style="1" bestFit="1" customWidth="1"/>
    <col min="9224" max="9224" width="14.85546875" style="1" customWidth="1"/>
    <col min="9225" max="9225" width="20.5703125" style="1" bestFit="1" customWidth="1"/>
    <col min="9226" max="9226" width="37.140625" style="1" customWidth="1"/>
    <col min="9227" max="9227" width="4.5703125" style="1" bestFit="1" customWidth="1"/>
    <col min="9228" max="9228" width="4.7109375" style="1" bestFit="1" customWidth="1"/>
    <col min="9229" max="9230" width="8.5703125" style="1" bestFit="1" customWidth="1"/>
    <col min="9231" max="9231" width="9.5703125" style="1" bestFit="1" customWidth="1"/>
    <col min="9232" max="9472" width="22.140625" style="1"/>
    <col min="9473" max="9473" width="7.140625" style="1" customWidth="1"/>
    <col min="9474" max="9474" width="11.7109375" style="1" bestFit="1" customWidth="1"/>
    <col min="9475" max="9475" width="20.85546875" style="1" bestFit="1" customWidth="1"/>
    <col min="9476" max="9476" width="19.85546875" style="1" bestFit="1" customWidth="1"/>
    <col min="9477" max="9477" width="15.85546875" style="1" customWidth="1"/>
    <col min="9478" max="9478" width="17.7109375" style="1" bestFit="1" customWidth="1"/>
    <col min="9479" max="9479" width="16.28515625" style="1" bestFit="1" customWidth="1"/>
    <col min="9480" max="9480" width="14.85546875" style="1" customWidth="1"/>
    <col min="9481" max="9481" width="20.5703125" style="1" bestFit="1" customWidth="1"/>
    <col min="9482" max="9482" width="37.140625" style="1" customWidth="1"/>
    <col min="9483" max="9483" width="4.5703125" style="1" bestFit="1" customWidth="1"/>
    <col min="9484" max="9484" width="4.7109375" style="1" bestFit="1" customWidth="1"/>
    <col min="9485" max="9486" width="8.5703125" style="1" bestFit="1" customWidth="1"/>
    <col min="9487" max="9487" width="9.5703125" style="1" bestFit="1" customWidth="1"/>
    <col min="9488" max="9728" width="22.140625" style="1"/>
    <col min="9729" max="9729" width="7.140625" style="1" customWidth="1"/>
    <col min="9730" max="9730" width="11.7109375" style="1" bestFit="1" customWidth="1"/>
    <col min="9731" max="9731" width="20.85546875" style="1" bestFit="1" customWidth="1"/>
    <col min="9732" max="9732" width="19.85546875" style="1" bestFit="1" customWidth="1"/>
    <col min="9733" max="9733" width="15.85546875" style="1" customWidth="1"/>
    <col min="9734" max="9734" width="17.7109375" style="1" bestFit="1" customWidth="1"/>
    <col min="9735" max="9735" width="16.28515625" style="1" bestFit="1" customWidth="1"/>
    <col min="9736" max="9736" width="14.85546875" style="1" customWidth="1"/>
    <col min="9737" max="9737" width="20.5703125" style="1" bestFit="1" customWidth="1"/>
    <col min="9738" max="9738" width="37.140625" style="1" customWidth="1"/>
    <col min="9739" max="9739" width="4.5703125" style="1" bestFit="1" customWidth="1"/>
    <col min="9740" max="9740" width="4.7109375" style="1" bestFit="1" customWidth="1"/>
    <col min="9741" max="9742" width="8.5703125" style="1" bestFit="1" customWidth="1"/>
    <col min="9743" max="9743" width="9.5703125" style="1" bestFit="1" customWidth="1"/>
    <col min="9744" max="9984" width="22.140625" style="1"/>
    <col min="9985" max="9985" width="7.140625" style="1" customWidth="1"/>
    <col min="9986" max="9986" width="11.7109375" style="1" bestFit="1" customWidth="1"/>
    <col min="9987" max="9987" width="20.85546875" style="1" bestFit="1" customWidth="1"/>
    <col min="9988" max="9988" width="19.85546875" style="1" bestFit="1" customWidth="1"/>
    <col min="9989" max="9989" width="15.85546875" style="1" customWidth="1"/>
    <col min="9990" max="9990" width="17.7109375" style="1" bestFit="1" customWidth="1"/>
    <col min="9991" max="9991" width="16.28515625" style="1" bestFit="1" customWidth="1"/>
    <col min="9992" max="9992" width="14.85546875" style="1" customWidth="1"/>
    <col min="9993" max="9993" width="20.5703125" style="1" bestFit="1" customWidth="1"/>
    <col min="9994" max="9994" width="37.140625" style="1" customWidth="1"/>
    <col min="9995" max="9995" width="4.5703125" style="1" bestFit="1" customWidth="1"/>
    <col min="9996" max="9996" width="4.7109375" style="1" bestFit="1" customWidth="1"/>
    <col min="9997" max="9998" width="8.5703125" style="1" bestFit="1" customWidth="1"/>
    <col min="9999" max="9999" width="9.5703125" style="1" bestFit="1" customWidth="1"/>
    <col min="10000" max="10240" width="22.140625" style="1"/>
    <col min="10241" max="10241" width="7.140625" style="1" customWidth="1"/>
    <col min="10242" max="10242" width="11.7109375" style="1" bestFit="1" customWidth="1"/>
    <col min="10243" max="10243" width="20.85546875" style="1" bestFit="1" customWidth="1"/>
    <col min="10244" max="10244" width="19.85546875" style="1" bestFit="1" customWidth="1"/>
    <col min="10245" max="10245" width="15.85546875" style="1" customWidth="1"/>
    <col min="10246" max="10246" width="17.7109375" style="1" bestFit="1" customWidth="1"/>
    <col min="10247" max="10247" width="16.28515625" style="1" bestFit="1" customWidth="1"/>
    <col min="10248" max="10248" width="14.85546875" style="1" customWidth="1"/>
    <col min="10249" max="10249" width="20.5703125" style="1" bestFit="1" customWidth="1"/>
    <col min="10250" max="10250" width="37.140625" style="1" customWidth="1"/>
    <col min="10251" max="10251" width="4.5703125" style="1" bestFit="1" customWidth="1"/>
    <col min="10252" max="10252" width="4.7109375" style="1" bestFit="1" customWidth="1"/>
    <col min="10253" max="10254" width="8.5703125" style="1" bestFit="1" customWidth="1"/>
    <col min="10255" max="10255" width="9.5703125" style="1" bestFit="1" customWidth="1"/>
    <col min="10256" max="10496" width="22.140625" style="1"/>
    <col min="10497" max="10497" width="7.140625" style="1" customWidth="1"/>
    <col min="10498" max="10498" width="11.7109375" style="1" bestFit="1" customWidth="1"/>
    <col min="10499" max="10499" width="20.85546875" style="1" bestFit="1" customWidth="1"/>
    <col min="10500" max="10500" width="19.85546875" style="1" bestFit="1" customWidth="1"/>
    <col min="10501" max="10501" width="15.85546875" style="1" customWidth="1"/>
    <col min="10502" max="10502" width="17.7109375" style="1" bestFit="1" customWidth="1"/>
    <col min="10503" max="10503" width="16.28515625" style="1" bestFit="1" customWidth="1"/>
    <col min="10504" max="10504" width="14.85546875" style="1" customWidth="1"/>
    <col min="10505" max="10505" width="20.5703125" style="1" bestFit="1" customWidth="1"/>
    <col min="10506" max="10506" width="37.140625" style="1" customWidth="1"/>
    <col min="10507" max="10507" width="4.5703125" style="1" bestFit="1" customWidth="1"/>
    <col min="10508" max="10508" width="4.7109375" style="1" bestFit="1" customWidth="1"/>
    <col min="10509" max="10510" width="8.5703125" style="1" bestFit="1" customWidth="1"/>
    <col min="10511" max="10511" width="9.5703125" style="1" bestFit="1" customWidth="1"/>
    <col min="10512" max="10752" width="22.140625" style="1"/>
    <col min="10753" max="10753" width="7.140625" style="1" customWidth="1"/>
    <col min="10754" max="10754" width="11.7109375" style="1" bestFit="1" customWidth="1"/>
    <col min="10755" max="10755" width="20.85546875" style="1" bestFit="1" customWidth="1"/>
    <col min="10756" max="10756" width="19.85546875" style="1" bestFit="1" customWidth="1"/>
    <col min="10757" max="10757" width="15.85546875" style="1" customWidth="1"/>
    <col min="10758" max="10758" width="17.7109375" style="1" bestFit="1" customWidth="1"/>
    <col min="10759" max="10759" width="16.28515625" style="1" bestFit="1" customWidth="1"/>
    <col min="10760" max="10760" width="14.85546875" style="1" customWidth="1"/>
    <col min="10761" max="10761" width="20.5703125" style="1" bestFit="1" customWidth="1"/>
    <col min="10762" max="10762" width="37.140625" style="1" customWidth="1"/>
    <col min="10763" max="10763" width="4.5703125" style="1" bestFit="1" customWidth="1"/>
    <col min="10764" max="10764" width="4.7109375" style="1" bestFit="1" customWidth="1"/>
    <col min="10765" max="10766" width="8.5703125" style="1" bestFit="1" customWidth="1"/>
    <col min="10767" max="10767" width="9.5703125" style="1" bestFit="1" customWidth="1"/>
    <col min="10768" max="11008" width="22.140625" style="1"/>
    <col min="11009" max="11009" width="7.140625" style="1" customWidth="1"/>
    <col min="11010" max="11010" width="11.7109375" style="1" bestFit="1" customWidth="1"/>
    <col min="11011" max="11011" width="20.85546875" style="1" bestFit="1" customWidth="1"/>
    <col min="11012" max="11012" width="19.85546875" style="1" bestFit="1" customWidth="1"/>
    <col min="11013" max="11013" width="15.85546875" style="1" customWidth="1"/>
    <col min="11014" max="11014" width="17.7109375" style="1" bestFit="1" customWidth="1"/>
    <col min="11015" max="11015" width="16.28515625" style="1" bestFit="1" customWidth="1"/>
    <col min="11016" max="11016" width="14.85546875" style="1" customWidth="1"/>
    <col min="11017" max="11017" width="20.5703125" style="1" bestFit="1" customWidth="1"/>
    <col min="11018" max="11018" width="37.140625" style="1" customWidth="1"/>
    <col min="11019" max="11019" width="4.5703125" style="1" bestFit="1" customWidth="1"/>
    <col min="11020" max="11020" width="4.7109375" style="1" bestFit="1" customWidth="1"/>
    <col min="11021" max="11022" width="8.5703125" style="1" bestFit="1" customWidth="1"/>
    <col min="11023" max="11023" width="9.5703125" style="1" bestFit="1" customWidth="1"/>
    <col min="11024" max="11264" width="22.140625" style="1"/>
    <col min="11265" max="11265" width="7.140625" style="1" customWidth="1"/>
    <col min="11266" max="11266" width="11.7109375" style="1" bestFit="1" customWidth="1"/>
    <col min="11267" max="11267" width="20.85546875" style="1" bestFit="1" customWidth="1"/>
    <col min="11268" max="11268" width="19.85546875" style="1" bestFit="1" customWidth="1"/>
    <col min="11269" max="11269" width="15.85546875" style="1" customWidth="1"/>
    <col min="11270" max="11270" width="17.7109375" style="1" bestFit="1" customWidth="1"/>
    <col min="11271" max="11271" width="16.28515625" style="1" bestFit="1" customWidth="1"/>
    <col min="11272" max="11272" width="14.85546875" style="1" customWidth="1"/>
    <col min="11273" max="11273" width="20.5703125" style="1" bestFit="1" customWidth="1"/>
    <col min="11274" max="11274" width="37.140625" style="1" customWidth="1"/>
    <col min="11275" max="11275" width="4.5703125" style="1" bestFit="1" customWidth="1"/>
    <col min="11276" max="11276" width="4.7109375" style="1" bestFit="1" customWidth="1"/>
    <col min="11277" max="11278" width="8.5703125" style="1" bestFit="1" customWidth="1"/>
    <col min="11279" max="11279" width="9.5703125" style="1" bestFit="1" customWidth="1"/>
    <col min="11280" max="11520" width="22.140625" style="1"/>
    <col min="11521" max="11521" width="7.140625" style="1" customWidth="1"/>
    <col min="11522" max="11522" width="11.7109375" style="1" bestFit="1" customWidth="1"/>
    <col min="11523" max="11523" width="20.85546875" style="1" bestFit="1" customWidth="1"/>
    <col min="11524" max="11524" width="19.85546875" style="1" bestFit="1" customWidth="1"/>
    <col min="11525" max="11525" width="15.85546875" style="1" customWidth="1"/>
    <col min="11526" max="11526" width="17.7109375" style="1" bestFit="1" customWidth="1"/>
    <col min="11527" max="11527" width="16.28515625" style="1" bestFit="1" customWidth="1"/>
    <col min="11528" max="11528" width="14.85546875" style="1" customWidth="1"/>
    <col min="11529" max="11529" width="20.5703125" style="1" bestFit="1" customWidth="1"/>
    <col min="11530" max="11530" width="37.140625" style="1" customWidth="1"/>
    <col min="11531" max="11531" width="4.5703125" style="1" bestFit="1" customWidth="1"/>
    <col min="11532" max="11532" width="4.7109375" style="1" bestFit="1" customWidth="1"/>
    <col min="11533" max="11534" width="8.5703125" style="1" bestFit="1" customWidth="1"/>
    <col min="11535" max="11535" width="9.5703125" style="1" bestFit="1" customWidth="1"/>
    <col min="11536" max="11776" width="22.140625" style="1"/>
    <col min="11777" max="11777" width="7.140625" style="1" customWidth="1"/>
    <col min="11778" max="11778" width="11.7109375" style="1" bestFit="1" customWidth="1"/>
    <col min="11779" max="11779" width="20.85546875" style="1" bestFit="1" customWidth="1"/>
    <col min="11780" max="11780" width="19.85546875" style="1" bestFit="1" customWidth="1"/>
    <col min="11781" max="11781" width="15.85546875" style="1" customWidth="1"/>
    <col min="11782" max="11782" width="17.7109375" style="1" bestFit="1" customWidth="1"/>
    <col min="11783" max="11783" width="16.28515625" style="1" bestFit="1" customWidth="1"/>
    <col min="11784" max="11784" width="14.85546875" style="1" customWidth="1"/>
    <col min="11785" max="11785" width="20.5703125" style="1" bestFit="1" customWidth="1"/>
    <col min="11786" max="11786" width="37.140625" style="1" customWidth="1"/>
    <col min="11787" max="11787" width="4.5703125" style="1" bestFit="1" customWidth="1"/>
    <col min="11788" max="11788" width="4.7109375" style="1" bestFit="1" customWidth="1"/>
    <col min="11789" max="11790" width="8.5703125" style="1" bestFit="1" customWidth="1"/>
    <col min="11791" max="11791" width="9.5703125" style="1" bestFit="1" customWidth="1"/>
    <col min="11792" max="12032" width="22.140625" style="1"/>
    <col min="12033" max="12033" width="7.140625" style="1" customWidth="1"/>
    <col min="12034" max="12034" width="11.7109375" style="1" bestFit="1" customWidth="1"/>
    <col min="12035" max="12035" width="20.85546875" style="1" bestFit="1" customWidth="1"/>
    <col min="12036" max="12036" width="19.85546875" style="1" bestFit="1" customWidth="1"/>
    <col min="12037" max="12037" width="15.85546875" style="1" customWidth="1"/>
    <col min="12038" max="12038" width="17.7109375" style="1" bestFit="1" customWidth="1"/>
    <col min="12039" max="12039" width="16.28515625" style="1" bestFit="1" customWidth="1"/>
    <col min="12040" max="12040" width="14.85546875" style="1" customWidth="1"/>
    <col min="12041" max="12041" width="20.5703125" style="1" bestFit="1" customWidth="1"/>
    <col min="12042" max="12042" width="37.140625" style="1" customWidth="1"/>
    <col min="12043" max="12043" width="4.5703125" style="1" bestFit="1" customWidth="1"/>
    <col min="12044" max="12044" width="4.7109375" style="1" bestFit="1" customWidth="1"/>
    <col min="12045" max="12046" width="8.5703125" style="1" bestFit="1" customWidth="1"/>
    <col min="12047" max="12047" width="9.5703125" style="1" bestFit="1" customWidth="1"/>
    <col min="12048" max="12288" width="22.140625" style="1"/>
    <col min="12289" max="12289" width="7.140625" style="1" customWidth="1"/>
    <col min="12290" max="12290" width="11.7109375" style="1" bestFit="1" customWidth="1"/>
    <col min="12291" max="12291" width="20.85546875" style="1" bestFit="1" customWidth="1"/>
    <col min="12292" max="12292" width="19.85546875" style="1" bestFit="1" customWidth="1"/>
    <col min="12293" max="12293" width="15.85546875" style="1" customWidth="1"/>
    <col min="12294" max="12294" width="17.7109375" style="1" bestFit="1" customWidth="1"/>
    <col min="12295" max="12295" width="16.28515625" style="1" bestFit="1" customWidth="1"/>
    <col min="12296" max="12296" width="14.85546875" style="1" customWidth="1"/>
    <col min="12297" max="12297" width="20.5703125" style="1" bestFit="1" customWidth="1"/>
    <col min="12298" max="12298" width="37.140625" style="1" customWidth="1"/>
    <col min="12299" max="12299" width="4.5703125" style="1" bestFit="1" customWidth="1"/>
    <col min="12300" max="12300" width="4.7109375" style="1" bestFit="1" customWidth="1"/>
    <col min="12301" max="12302" width="8.5703125" style="1" bestFit="1" customWidth="1"/>
    <col min="12303" max="12303" width="9.5703125" style="1" bestFit="1" customWidth="1"/>
    <col min="12304" max="12544" width="22.140625" style="1"/>
    <col min="12545" max="12545" width="7.140625" style="1" customWidth="1"/>
    <col min="12546" max="12546" width="11.7109375" style="1" bestFit="1" customWidth="1"/>
    <col min="12547" max="12547" width="20.85546875" style="1" bestFit="1" customWidth="1"/>
    <col min="12548" max="12548" width="19.85546875" style="1" bestFit="1" customWidth="1"/>
    <col min="12549" max="12549" width="15.85546875" style="1" customWidth="1"/>
    <col min="12550" max="12550" width="17.7109375" style="1" bestFit="1" customWidth="1"/>
    <col min="12551" max="12551" width="16.28515625" style="1" bestFit="1" customWidth="1"/>
    <col min="12552" max="12552" width="14.85546875" style="1" customWidth="1"/>
    <col min="12553" max="12553" width="20.5703125" style="1" bestFit="1" customWidth="1"/>
    <col min="12554" max="12554" width="37.140625" style="1" customWidth="1"/>
    <col min="12555" max="12555" width="4.5703125" style="1" bestFit="1" customWidth="1"/>
    <col min="12556" max="12556" width="4.7109375" style="1" bestFit="1" customWidth="1"/>
    <col min="12557" max="12558" width="8.5703125" style="1" bestFit="1" customWidth="1"/>
    <col min="12559" max="12559" width="9.5703125" style="1" bestFit="1" customWidth="1"/>
    <col min="12560" max="12800" width="22.140625" style="1"/>
    <col min="12801" max="12801" width="7.140625" style="1" customWidth="1"/>
    <col min="12802" max="12802" width="11.7109375" style="1" bestFit="1" customWidth="1"/>
    <col min="12803" max="12803" width="20.85546875" style="1" bestFit="1" customWidth="1"/>
    <col min="12804" max="12804" width="19.85546875" style="1" bestFit="1" customWidth="1"/>
    <col min="12805" max="12805" width="15.85546875" style="1" customWidth="1"/>
    <col min="12806" max="12806" width="17.7109375" style="1" bestFit="1" customWidth="1"/>
    <col min="12807" max="12807" width="16.28515625" style="1" bestFit="1" customWidth="1"/>
    <col min="12808" max="12808" width="14.85546875" style="1" customWidth="1"/>
    <col min="12809" max="12809" width="20.5703125" style="1" bestFit="1" customWidth="1"/>
    <col min="12810" max="12810" width="37.140625" style="1" customWidth="1"/>
    <col min="12811" max="12811" width="4.5703125" style="1" bestFit="1" customWidth="1"/>
    <col min="12812" max="12812" width="4.7109375" style="1" bestFit="1" customWidth="1"/>
    <col min="12813" max="12814" width="8.5703125" style="1" bestFit="1" customWidth="1"/>
    <col min="12815" max="12815" width="9.5703125" style="1" bestFit="1" customWidth="1"/>
    <col min="12816" max="13056" width="22.140625" style="1"/>
    <col min="13057" max="13057" width="7.140625" style="1" customWidth="1"/>
    <col min="13058" max="13058" width="11.7109375" style="1" bestFit="1" customWidth="1"/>
    <col min="13059" max="13059" width="20.85546875" style="1" bestFit="1" customWidth="1"/>
    <col min="13060" max="13060" width="19.85546875" style="1" bestFit="1" customWidth="1"/>
    <col min="13061" max="13061" width="15.85546875" style="1" customWidth="1"/>
    <col min="13062" max="13062" width="17.7109375" style="1" bestFit="1" customWidth="1"/>
    <col min="13063" max="13063" width="16.28515625" style="1" bestFit="1" customWidth="1"/>
    <col min="13064" max="13064" width="14.85546875" style="1" customWidth="1"/>
    <col min="13065" max="13065" width="20.5703125" style="1" bestFit="1" customWidth="1"/>
    <col min="13066" max="13066" width="37.140625" style="1" customWidth="1"/>
    <col min="13067" max="13067" width="4.5703125" style="1" bestFit="1" customWidth="1"/>
    <col min="13068" max="13068" width="4.7109375" style="1" bestFit="1" customWidth="1"/>
    <col min="13069" max="13070" width="8.5703125" style="1" bestFit="1" customWidth="1"/>
    <col min="13071" max="13071" width="9.5703125" style="1" bestFit="1" customWidth="1"/>
    <col min="13072" max="13312" width="22.140625" style="1"/>
    <col min="13313" max="13313" width="7.140625" style="1" customWidth="1"/>
    <col min="13314" max="13314" width="11.7109375" style="1" bestFit="1" customWidth="1"/>
    <col min="13315" max="13315" width="20.85546875" style="1" bestFit="1" customWidth="1"/>
    <col min="13316" max="13316" width="19.85546875" style="1" bestFit="1" customWidth="1"/>
    <col min="13317" max="13317" width="15.85546875" style="1" customWidth="1"/>
    <col min="13318" max="13318" width="17.7109375" style="1" bestFit="1" customWidth="1"/>
    <col min="13319" max="13319" width="16.28515625" style="1" bestFit="1" customWidth="1"/>
    <col min="13320" max="13320" width="14.85546875" style="1" customWidth="1"/>
    <col min="13321" max="13321" width="20.5703125" style="1" bestFit="1" customWidth="1"/>
    <col min="13322" max="13322" width="37.140625" style="1" customWidth="1"/>
    <col min="13323" max="13323" width="4.5703125" style="1" bestFit="1" customWidth="1"/>
    <col min="13324" max="13324" width="4.7109375" style="1" bestFit="1" customWidth="1"/>
    <col min="13325" max="13326" width="8.5703125" style="1" bestFit="1" customWidth="1"/>
    <col min="13327" max="13327" width="9.5703125" style="1" bestFit="1" customWidth="1"/>
    <col min="13328" max="13568" width="22.140625" style="1"/>
    <col min="13569" max="13569" width="7.140625" style="1" customWidth="1"/>
    <col min="13570" max="13570" width="11.7109375" style="1" bestFit="1" customWidth="1"/>
    <col min="13571" max="13571" width="20.85546875" style="1" bestFit="1" customWidth="1"/>
    <col min="13572" max="13572" width="19.85546875" style="1" bestFit="1" customWidth="1"/>
    <col min="13573" max="13573" width="15.85546875" style="1" customWidth="1"/>
    <col min="13574" max="13574" width="17.7109375" style="1" bestFit="1" customWidth="1"/>
    <col min="13575" max="13575" width="16.28515625" style="1" bestFit="1" customWidth="1"/>
    <col min="13576" max="13576" width="14.85546875" style="1" customWidth="1"/>
    <col min="13577" max="13577" width="20.5703125" style="1" bestFit="1" customWidth="1"/>
    <col min="13578" max="13578" width="37.140625" style="1" customWidth="1"/>
    <col min="13579" max="13579" width="4.5703125" style="1" bestFit="1" customWidth="1"/>
    <col min="13580" max="13580" width="4.7109375" style="1" bestFit="1" customWidth="1"/>
    <col min="13581" max="13582" width="8.5703125" style="1" bestFit="1" customWidth="1"/>
    <col min="13583" max="13583" width="9.5703125" style="1" bestFit="1" customWidth="1"/>
    <col min="13584" max="13824" width="22.140625" style="1"/>
    <col min="13825" max="13825" width="7.140625" style="1" customWidth="1"/>
    <col min="13826" max="13826" width="11.7109375" style="1" bestFit="1" customWidth="1"/>
    <col min="13827" max="13827" width="20.85546875" style="1" bestFit="1" customWidth="1"/>
    <col min="13828" max="13828" width="19.85546875" style="1" bestFit="1" customWidth="1"/>
    <col min="13829" max="13829" width="15.85546875" style="1" customWidth="1"/>
    <col min="13830" max="13830" width="17.7109375" style="1" bestFit="1" customWidth="1"/>
    <col min="13831" max="13831" width="16.28515625" style="1" bestFit="1" customWidth="1"/>
    <col min="13832" max="13832" width="14.85546875" style="1" customWidth="1"/>
    <col min="13833" max="13833" width="20.5703125" style="1" bestFit="1" customWidth="1"/>
    <col min="13834" max="13834" width="37.140625" style="1" customWidth="1"/>
    <col min="13835" max="13835" width="4.5703125" style="1" bestFit="1" customWidth="1"/>
    <col min="13836" max="13836" width="4.7109375" style="1" bestFit="1" customWidth="1"/>
    <col min="13837" max="13838" width="8.5703125" style="1" bestFit="1" customWidth="1"/>
    <col min="13839" max="13839" width="9.5703125" style="1" bestFit="1" customWidth="1"/>
    <col min="13840" max="14080" width="22.140625" style="1"/>
    <col min="14081" max="14081" width="7.140625" style="1" customWidth="1"/>
    <col min="14082" max="14082" width="11.7109375" style="1" bestFit="1" customWidth="1"/>
    <col min="14083" max="14083" width="20.85546875" style="1" bestFit="1" customWidth="1"/>
    <col min="14084" max="14084" width="19.85546875" style="1" bestFit="1" customWidth="1"/>
    <col min="14085" max="14085" width="15.85546875" style="1" customWidth="1"/>
    <col min="14086" max="14086" width="17.7109375" style="1" bestFit="1" customWidth="1"/>
    <col min="14087" max="14087" width="16.28515625" style="1" bestFit="1" customWidth="1"/>
    <col min="14088" max="14088" width="14.85546875" style="1" customWidth="1"/>
    <col min="14089" max="14089" width="20.5703125" style="1" bestFit="1" customWidth="1"/>
    <col min="14090" max="14090" width="37.140625" style="1" customWidth="1"/>
    <col min="14091" max="14091" width="4.5703125" style="1" bestFit="1" customWidth="1"/>
    <col min="14092" max="14092" width="4.7109375" style="1" bestFit="1" customWidth="1"/>
    <col min="14093" max="14094" width="8.5703125" style="1" bestFit="1" customWidth="1"/>
    <col min="14095" max="14095" width="9.5703125" style="1" bestFit="1" customWidth="1"/>
    <col min="14096" max="14336" width="22.140625" style="1"/>
    <col min="14337" max="14337" width="7.140625" style="1" customWidth="1"/>
    <col min="14338" max="14338" width="11.7109375" style="1" bestFit="1" customWidth="1"/>
    <col min="14339" max="14339" width="20.85546875" style="1" bestFit="1" customWidth="1"/>
    <col min="14340" max="14340" width="19.85546875" style="1" bestFit="1" customWidth="1"/>
    <col min="14341" max="14341" width="15.85546875" style="1" customWidth="1"/>
    <col min="14342" max="14342" width="17.7109375" style="1" bestFit="1" customWidth="1"/>
    <col min="14343" max="14343" width="16.28515625" style="1" bestFit="1" customWidth="1"/>
    <col min="14344" max="14344" width="14.85546875" style="1" customWidth="1"/>
    <col min="14345" max="14345" width="20.5703125" style="1" bestFit="1" customWidth="1"/>
    <col min="14346" max="14346" width="37.140625" style="1" customWidth="1"/>
    <col min="14347" max="14347" width="4.5703125" style="1" bestFit="1" customWidth="1"/>
    <col min="14348" max="14348" width="4.7109375" style="1" bestFit="1" customWidth="1"/>
    <col min="14349" max="14350" width="8.5703125" style="1" bestFit="1" customWidth="1"/>
    <col min="14351" max="14351" width="9.5703125" style="1" bestFit="1" customWidth="1"/>
    <col min="14352" max="14592" width="22.140625" style="1"/>
    <col min="14593" max="14593" width="7.140625" style="1" customWidth="1"/>
    <col min="14594" max="14594" width="11.7109375" style="1" bestFit="1" customWidth="1"/>
    <col min="14595" max="14595" width="20.85546875" style="1" bestFit="1" customWidth="1"/>
    <col min="14596" max="14596" width="19.85546875" style="1" bestFit="1" customWidth="1"/>
    <col min="14597" max="14597" width="15.85546875" style="1" customWidth="1"/>
    <col min="14598" max="14598" width="17.7109375" style="1" bestFit="1" customWidth="1"/>
    <col min="14599" max="14599" width="16.28515625" style="1" bestFit="1" customWidth="1"/>
    <col min="14600" max="14600" width="14.85546875" style="1" customWidth="1"/>
    <col min="14601" max="14601" width="20.5703125" style="1" bestFit="1" customWidth="1"/>
    <col min="14602" max="14602" width="37.140625" style="1" customWidth="1"/>
    <col min="14603" max="14603" width="4.5703125" style="1" bestFit="1" customWidth="1"/>
    <col min="14604" max="14604" width="4.7109375" style="1" bestFit="1" customWidth="1"/>
    <col min="14605" max="14606" width="8.5703125" style="1" bestFit="1" customWidth="1"/>
    <col min="14607" max="14607" width="9.5703125" style="1" bestFit="1" customWidth="1"/>
    <col min="14608" max="14848" width="22.140625" style="1"/>
    <col min="14849" max="14849" width="7.140625" style="1" customWidth="1"/>
    <col min="14850" max="14850" width="11.7109375" style="1" bestFit="1" customWidth="1"/>
    <col min="14851" max="14851" width="20.85546875" style="1" bestFit="1" customWidth="1"/>
    <col min="14852" max="14852" width="19.85546875" style="1" bestFit="1" customWidth="1"/>
    <col min="14853" max="14853" width="15.85546875" style="1" customWidth="1"/>
    <col min="14854" max="14854" width="17.7109375" style="1" bestFit="1" customWidth="1"/>
    <col min="14855" max="14855" width="16.28515625" style="1" bestFit="1" customWidth="1"/>
    <col min="14856" max="14856" width="14.85546875" style="1" customWidth="1"/>
    <col min="14857" max="14857" width="20.5703125" style="1" bestFit="1" customWidth="1"/>
    <col min="14858" max="14858" width="37.140625" style="1" customWidth="1"/>
    <col min="14859" max="14859" width="4.5703125" style="1" bestFit="1" customWidth="1"/>
    <col min="14860" max="14860" width="4.7109375" style="1" bestFit="1" customWidth="1"/>
    <col min="14861" max="14862" width="8.5703125" style="1" bestFit="1" customWidth="1"/>
    <col min="14863" max="14863" width="9.5703125" style="1" bestFit="1" customWidth="1"/>
    <col min="14864" max="15104" width="22.140625" style="1"/>
    <col min="15105" max="15105" width="7.140625" style="1" customWidth="1"/>
    <col min="15106" max="15106" width="11.7109375" style="1" bestFit="1" customWidth="1"/>
    <col min="15107" max="15107" width="20.85546875" style="1" bestFit="1" customWidth="1"/>
    <col min="15108" max="15108" width="19.85546875" style="1" bestFit="1" customWidth="1"/>
    <col min="15109" max="15109" width="15.85546875" style="1" customWidth="1"/>
    <col min="15110" max="15110" width="17.7109375" style="1" bestFit="1" customWidth="1"/>
    <col min="15111" max="15111" width="16.28515625" style="1" bestFit="1" customWidth="1"/>
    <col min="15112" max="15112" width="14.85546875" style="1" customWidth="1"/>
    <col min="15113" max="15113" width="20.5703125" style="1" bestFit="1" customWidth="1"/>
    <col min="15114" max="15114" width="37.140625" style="1" customWidth="1"/>
    <col min="15115" max="15115" width="4.5703125" style="1" bestFit="1" customWidth="1"/>
    <col min="15116" max="15116" width="4.7109375" style="1" bestFit="1" customWidth="1"/>
    <col min="15117" max="15118" width="8.5703125" style="1" bestFit="1" customWidth="1"/>
    <col min="15119" max="15119" width="9.5703125" style="1" bestFit="1" customWidth="1"/>
    <col min="15120" max="15360" width="22.140625" style="1"/>
    <col min="15361" max="15361" width="7.140625" style="1" customWidth="1"/>
    <col min="15362" max="15362" width="11.7109375" style="1" bestFit="1" customWidth="1"/>
    <col min="15363" max="15363" width="20.85546875" style="1" bestFit="1" customWidth="1"/>
    <col min="15364" max="15364" width="19.85546875" style="1" bestFit="1" customWidth="1"/>
    <col min="15365" max="15365" width="15.85546875" style="1" customWidth="1"/>
    <col min="15366" max="15366" width="17.7109375" style="1" bestFit="1" customWidth="1"/>
    <col min="15367" max="15367" width="16.28515625" style="1" bestFit="1" customWidth="1"/>
    <col min="15368" max="15368" width="14.85546875" style="1" customWidth="1"/>
    <col min="15369" max="15369" width="20.5703125" style="1" bestFit="1" customWidth="1"/>
    <col min="15370" max="15370" width="37.140625" style="1" customWidth="1"/>
    <col min="15371" max="15371" width="4.5703125" style="1" bestFit="1" customWidth="1"/>
    <col min="15372" max="15372" width="4.7109375" style="1" bestFit="1" customWidth="1"/>
    <col min="15373" max="15374" width="8.5703125" style="1" bestFit="1" customWidth="1"/>
    <col min="15375" max="15375" width="9.5703125" style="1" bestFit="1" customWidth="1"/>
    <col min="15376" max="15616" width="22.140625" style="1"/>
    <col min="15617" max="15617" width="7.140625" style="1" customWidth="1"/>
    <col min="15618" max="15618" width="11.7109375" style="1" bestFit="1" customWidth="1"/>
    <col min="15619" max="15619" width="20.85546875" style="1" bestFit="1" customWidth="1"/>
    <col min="15620" max="15620" width="19.85546875" style="1" bestFit="1" customWidth="1"/>
    <col min="15621" max="15621" width="15.85546875" style="1" customWidth="1"/>
    <col min="15622" max="15622" width="17.7109375" style="1" bestFit="1" customWidth="1"/>
    <col min="15623" max="15623" width="16.28515625" style="1" bestFit="1" customWidth="1"/>
    <col min="15624" max="15624" width="14.85546875" style="1" customWidth="1"/>
    <col min="15625" max="15625" width="20.5703125" style="1" bestFit="1" customWidth="1"/>
    <col min="15626" max="15626" width="37.140625" style="1" customWidth="1"/>
    <col min="15627" max="15627" width="4.5703125" style="1" bestFit="1" customWidth="1"/>
    <col min="15628" max="15628" width="4.7109375" style="1" bestFit="1" customWidth="1"/>
    <col min="15629" max="15630" width="8.5703125" style="1" bestFit="1" customWidth="1"/>
    <col min="15631" max="15631" width="9.5703125" style="1" bestFit="1" customWidth="1"/>
    <col min="15632" max="15872" width="22.140625" style="1"/>
    <col min="15873" max="15873" width="7.140625" style="1" customWidth="1"/>
    <col min="15874" max="15874" width="11.7109375" style="1" bestFit="1" customWidth="1"/>
    <col min="15875" max="15875" width="20.85546875" style="1" bestFit="1" customWidth="1"/>
    <col min="15876" max="15876" width="19.85546875" style="1" bestFit="1" customWidth="1"/>
    <col min="15877" max="15877" width="15.85546875" style="1" customWidth="1"/>
    <col min="15878" max="15878" width="17.7109375" style="1" bestFit="1" customWidth="1"/>
    <col min="15879" max="15879" width="16.28515625" style="1" bestFit="1" customWidth="1"/>
    <col min="15880" max="15880" width="14.85546875" style="1" customWidth="1"/>
    <col min="15881" max="15881" width="20.5703125" style="1" bestFit="1" customWidth="1"/>
    <col min="15882" max="15882" width="37.140625" style="1" customWidth="1"/>
    <col min="15883" max="15883" width="4.5703125" style="1" bestFit="1" customWidth="1"/>
    <col min="15884" max="15884" width="4.7109375" style="1" bestFit="1" customWidth="1"/>
    <col min="15885" max="15886" width="8.5703125" style="1" bestFit="1" customWidth="1"/>
    <col min="15887" max="15887" width="9.5703125" style="1" bestFit="1" customWidth="1"/>
    <col min="15888" max="16128" width="22.140625" style="1"/>
    <col min="16129" max="16129" width="7.140625" style="1" customWidth="1"/>
    <col min="16130" max="16130" width="11.7109375" style="1" bestFit="1" customWidth="1"/>
    <col min="16131" max="16131" width="20.85546875" style="1" bestFit="1" customWidth="1"/>
    <col min="16132" max="16132" width="19.85546875" style="1" bestFit="1" customWidth="1"/>
    <col min="16133" max="16133" width="15.85546875" style="1" customWidth="1"/>
    <col min="16134" max="16134" width="17.7109375" style="1" bestFit="1" customWidth="1"/>
    <col min="16135" max="16135" width="16.28515625" style="1" bestFit="1" customWidth="1"/>
    <col min="16136" max="16136" width="14.85546875" style="1" customWidth="1"/>
    <col min="16137" max="16137" width="20.5703125" style="1" bestFit="1" customWidth="1"/>
    <col min="16138" max="16138" width="37.140625" style="1" customWidth="1"/>
    <col min="16139" max="16139" width="4.5703125" style="1" bestFit="1" customWidth="1"/>
    <col min="16140" max="16140" width="4.7109375" style="1" bestFit="1" customWidth="1"/>
    <col min="16141" max="16142" width="8.5703125" style="1" bestFit="1" customWidth="1"/>
    <col min="16143" max="16143" width="9.5703125" style="1" bestFit="1" customWidth="1"/>
    <col min="16144" max="16384" width="22.140625" style="1"/>
  </cols>
  <sheetData>
    <row r="1" spans="1:18" x14ac:dyDescent="0.2">
      <c r="C1" s="14" t="s">
        <v>49</v>
      </c>
      <c r="D1" s="14" t="s">
        <v>49</v>
      </c>
      <c r="E1" s="14" t="s">
        <v>49</v>
      </c>
      <c r="F1" s="14" t="s">
        <v>49</v>
      </c>
      <c r="G1" s="14" t="s">
        <v>49</v>
      </c>
      <c r="H1" s="14" t="s">
        <v>49</v>
      </c>
      <c r="I1" s="14" t="s">
        <v>49</v>
      </c>
      <c r="J1" s="141" t="s">
        <v>49</v>
      </c>
      <c r="K1" s="15"/>
      <c r="L1" s="16" t="s">
        <v>53</v>
      </c>
      <c r="M1" s="16" t="s">
        <v>53</v>
      </c>
      <c r="N1" s="16" t="s">
        <v>53</v>
      </c>
      <c r="O1" s="16" t="s">
        <v>53</v>
      </c>
      <c r="P1" s="16" t="s">
        <v>53</v>
      </c>
      <c r="Q1" s="16" t="s">
        <v>53</v>
      </c>
      <c r="R1" s="143" t="s">
        <v>53</v>
      </c>
    </row>
    <row r="2" spans="1:18" ht="76.5" x14ac:dyDescent="0.2">
      <c r="A2" s="17" t="s">
        <v>79</v>
      </c>
      <c r="B2" s="17" t="s">
        <v>176</v>
      </c>
      <c r="C2" s="17" t="s">
        <v>172</v>
      </c>
      <c r="D2" s="17" t="s">
        <v>175</v>
      </c>
      <c r="E2" s="17" t="s">
        <v>177</v>
      </c>
      <c r="F2" s="18" t="s">
        <v>173</v>
      </c>
      <c r="G2" s="19" t="s">
        <v>178</v>
      </c>
      <c r="H2" s="17" t="s">
        <v>179</v>
      </c>
      <c r="I2" s="17" t="s">
        <v>84</v>
      </c>
      <c r="J2" s="19" t="s">
        <v>85</v>
      </c>
      <c r="K2" s="20"/>
      <c r="L2" s="17" t="s">
        <v>172</v>
      </c>
      <c r="M2" s="18" t="s">
        <v>173</v>
      </c>
      <c r="N2" s="19" t="s">
        <v>174</v>
      </c>
      <c r="O2" s="17" t="s">
        <v>175</v>
      </c>
      <c r="P2" s="17" t="s">
        <v>86</v>
      </c>
      <c r="Q2" s="17" t="s">
        <v>84</v>
      </c>
      <c r="R2" s="21" t="s">
        <v>87</v>
      </c>
    </row>
    <row r="3" spans="1:18" x14ac:dyDescent="0.2">
      <c r="A3" s="88">
        <v>1</v>
      </c>
      <c r="B3" s="32" t="s">
        <v>88</v>
      </c>
      <c r="C3" s="22">
        <f>'[1]Calhoun Revenue'!$B$11</f>
        <v>32000</v>
      </c>
      <c r="D3" s="22">
        <f>'[1]Calhoun Revenue'!$B$3</f>
        <v>38681.19</v>
      </c>
      <c r="E3" s="22">
        <v>0</v>
      </c>
      <c r="F3" s="22">
        <v>0</v>
      </c>
      <c r="G3" s="22">
        <v>0</v>
      </c>
      <c r="H3" s="22">
        <v>0</v>
      </c>
      <c r="I3" s="22">
        <f>SUM(C3:H3)</f>
        <v>70681.19</v>
      </c>
      <c r="J3" s="67"/>
      <c r="K3" s="50"/>
      <c r="L3" s="22">
        <v>60000</v>
      </c>
      <c r="M3" s="22">
        <v>0</v>
      </c>
      <c r="N3" s="22">
        <v>0</v>
      </c>
      <c r="O3" s="22">
        <v>0</v>
      </c>
      <c r="P3" s="22">
        <v>0</v>
      </c>
      <c r="Q3" s="22">
        <f>SUM(L3:P3)</f>
        <v>60000</v>
      </c>
      <c r="R3" s="23"/>
    </row>
    <row r="4" spans="1:18" x14ac:dyDescent="0.2">
      <c r="A4" s="88">
        <v>1</v>
      </c>
      <c r="B4" s="32" t="s">
        <v>89</v>
      </c>
      <c r="C4" s="22">
        <v>643525</v>
      </c>
      <c r="D4" s="22">
        <v>348079.05</v>
      </c>
      <c r="E4" s="22">
        <v>0</v>
      </c>
      <c r="F4" s="22">
        <v>24000</v>
      </c>
      <c r="G4" s="22">
        <v>0</v>
      </c>
      <c r="H4" s="22">
        <v>0</v>
      </c>
      <c r="I4" s="22">
        <f>SUM(C4:H4)</f>
        <v>1015604.05</v>
      </c>
      <c r="J4" s="67"/>
      <c r="K4" s="50"/>
      <c r="L4" s="22">
        <v>768050</v>
      </c>
      <c r="M4" s="22">
        <v>0</v>
      </c>
      <c r="N4" s="22">
        <v>587924</v>
      </c>
      <c r="O4" s="22">
        <v>321490</v>
      </c>
      <c r="P4" s="22">
        <v>73210</v>
      </c>
      <c r="Q4" s="22">
        <f>SUM(L4:P4)</f>
        <v>1750674</v>
      </c>
      <c r="R4" s="23"/>
    </row>
    <row r="5" spans="1:18" ht="13.5" thickBot="1" x14ac:dyDescent="0.25">
      <c r="A5" s="88">
        <v>1</v>
      </c>
      <c r="B5" s="32" t="s">
        <v>90</v>
      </c>
      <c r="C5" s="24">
        <v>610392</v>
      </c>
      <c r="D5" s="24">
        <v>235785.28999999998</v>
      </c>
      <c r="E5" s="24">
        <v>0</v>
      </c>
      <c r="F5" s="24">
        <v>0</v>
      </c>
      <c r="G5" s="24">
        <v>0</v>
      </c>
      <c r="H5" s="24">
        <v>0</v>
      </c>
      <c r="I5" s="24">
        <f>SUM(C5:H5)</f>
        <v>846177.29</v>
      </c>
      <c r="J5" s="67"/>
      <c r="K5" s="50"/>
      <c r="L5" s="24">
        <v>634288</v>
      </c>
      <c r="M5" s="24">
        <v>0</v>
      </c>
      <c r="N5" s="24">
        <v>0</v>
      </c>
      <c r="O5" s="24">
        <v>0</v>
      </c>
      <c r="P5" s="24">
        <v>0</v>
      </c>
      <c r="Q5" s="24">
        <f>SUM(L5:P5)</f>
        <v>634288</v>
      </c>
      <c r="R5" s="23"/>
    </row>
    <row r="6" spans="1:18" ht="13.5" thickTop="1" x14ac:dyDescent="0.2">
      <c r="A6" s="40"/>
      <c r="B6" s="45" t="s">
        <v>4</v>
      </c>
      <c r="C6" s="25">
        <f t="shared" ref="C6:H6" si="0">SUM(C3:C5)</f>
        <v>1285917</v>
      </c>
      <c r="D6" s="25">
        <f t="shared" si="0"/>
        <v>622545.53</v>
      </c>
      <c r="E6" s="22">
        <f t="shared" si="0"/>
        <v>0</v>
      </c>
      <c r="F6" s="25">
        <f t="shared" si="0"/>
        <v>24000</v>
      </c>
      <c r="G6" s="22">
        <f t="shared" si="0"/>
        <v>0</v>
      </c>
      <c r="H6" s="22">
        <f t="shared" si="0"/>
        <v>0</v>
      </c>
      <c r="I6" s="25">
        <f>SUM(C6:H6)</f>
        <v>1932462.53</v>
      </c>
      <c r="J6" s="68"/>
      <c r="K6" s="89"/>
      <c r="L6" s="25">
        <f t="shared" ref="L6:P6" si="1">SUM(L3:L5)</f>
        <v>1462338</v>
      </c>
      <c r="M6" s="25">
        <f t="shared" si="1"/>
        <v>0</v>
      </c>
      <c r="N6" s="25">
        <f t="shared" si="1"/>
        <v>587924</v>
      </c>
      <c r="O6" s="25">
        <f t="shared" si="1"/>
        <v>321490</v>
      </c>
      <c r="P6" s="25">
        <f t="shared" si="1"/>
        <v>73210</v>
      </c>
      <c r="Q6" s="25">
        <f>SUM(L6:P6)</f>
        <v>2444962</v>
      </c>
      <c r="R6" s="23"/>
    </row>
    <row r="7" spans="1:18" x14ac:dyDescent="0.2">
      <c r="A7" s="90"/>
      <c r="B7" s="72"/>
      <c r="C7" s="26"/>
      <c r="D7" s="26"/>
      <c r="E7" s="26"/>
      <c r="F7" s="26"/>
      <c r="G7" s="26"/>
      <c r="H7" s="26"/>
      <c r="I7" s="27"/>
      <c r="J7" s="69"/>
      <c r="K7" s="50"/>
      <c r="L7" s="26"/>
      <c r="M7" s="26"/>
      <c r="N7" s="26"/>
      <c r="O7" s="26"/>
      <c r="P7" s="26"/>
      <c r="Q7" s="27"/>
      <c r="R7" s="28"/>
    </row>
    <row r="8" spans="1:18" x14ac:dyDescent="0.2">
      <c r="A8" s="88">
        <v>2</v>
      </c>
      <c r="B8" s="32" t="s">
        <v>91</v>
      </c>
      <c r="C8" s="22">
        <f>'[2]Aiken Revenue'!$B$11</f>
        <v>449701</v>
      </c>
      <c r="D8" s="22">
        <f>'[2]Aiken Revenue'!$B$3</f>
        <v>408092.74000000005</v>
      </c>
      <c r="E8" s="22">
        <v>0</v>
      </c>
      <c r="F8" s="22">
        <f>'[2]Aiken Revenue'!$B$13</f>
        <v>34000</v>
      </c>
      <c r="G8" s="22">
        <v>0</v>
      </c>
      <c r="H8" s="22">
        <v>0</v>
      </c>
      <c r="I8" s="22">
        <f>SUM(C8:H8)</f>
        <v>891793.74</v>
      </c>
      <c r="J8" s="67"/>
      <c r="K8" s="50"/>
      <c r="L8" s="22">
        <v>1436638</v>
      </c>
      <c r="M8" s="22">
        <v>0</v>
      </c>
      <c r="N8" s="22">
        <v>292500</v>
      </c>
      <c r="O8" s="22">
        <v>912859</v>
      </c>
      <c r="P8" s="22">
        <v>49500</v>
      </c>
      <c r="Q8" s="22">
        <f>SUM(L8:P8)</f>
        <v>2691497</v>
      </c>
      <c r="R8" s="23"/>
    </row>
    <row r="9" spans="1:18" x14ac:dyDescent="0.2">
      <c r="A9" s="88">
        <v>2</v>
      </c>
      <c r="B9" s="32" t="s">
        <v>92</v>
      </c>
      <c r="C9" s="22">
        <f>'[2]Bamberg Revenue '!$B$11</f>
        <v>32500</v>
      </c>
      <c r="D9" s="22">
        <f>'[2]Bamberg Revenue '!$B$3</f>
        <v>40750.9</v>
      </c>
      <c r="E9" s="22">
        <v>0</v>
      </c>
      <c r="F9" s="22">
        <f>'[2]Bamberg Revenue '!$B$13</f>
        <v>2000</v>
      </c>
      <c r="G9" s="22">
        <v>0</v>
      </c>
      <c r="H9" s="22">
        <v>0</v>
      </c>
      <c r="I9" s="22">
        <f>SUM(C9:H9)</f>
        <v>75250.899999999994</v>
      </c>
      <c r="J9" s="67"/>
      <c r="K9" s="50"/>
      <c r="L9" s="22">
        <v>81726</v>
      </c>
      <c r="M9" s="22">
        <v>0</v>
      </c>
      <c r="N9" s="22">
        <v>0</v>
      </c>
      <c r="O9" s="22">
        <v>0</v>
      </c>
      <c r="P9" s="22">
        <v>0</v>
      </c>
      <c r="Q9" s="22">
        <f>SUM(L9:P9)</f>
        <v>81726</v>
      </c>
      <c r="R9" s="23"/>
    </row>
    <row r="10" spans="1:18" ht="13.5" thickBot="1" x14ac:dyDescent="0.25">
      <c r="A10" s="88">
        <v>2</v>
      </c>
      <c r="B10" s="32" t="s">
        <v>93</v>
      </c>
      <c r="C10" s="24">
        <f>'[2]Barnwell Revenue '!$B$11</f>
        <v>75000</v>
      </c>
      <c r="D10" s="24">
        <f>'[2]Barnwell Revenue '!$B$3</f>
        <v>57661.009999999995</v>
      </c>
      <c r="E10" s="24">
        <v>0</v>
      </c>
      <c r="F10" s="24">
        <f>'[2]Barnwell Revenue '!$B$13</f>
        <v>2000</v>
      </c>
      <c r="G10" s="24">
        <v>0</v>
      </c>
      <c r="H10" s="24">
        <v>0</v>
      </c>
      <c r="I10" s="24">
        <f>SUM(C10:H10)</f>
        <v>134661.01</v>
      </c>
      <c r="J10" s="67"/>
      <c r="K10" s="50"/>
      <c r="L10" s="24">
        <v>130000</v>
      </c>
      <c r="M10" s="24">
        <v>0</v>
      </c>
      <c r="N10" s="24">
        <v>0</v>
      </c>
      <c r="O10" s="24">
        <v>0</v>
      </c>
      <c r="P10" s="24">
        <v>0</v>
      </c>
      <c r="Q10" s="24">
        <f>SUM(L10:P10)</f>
        <v>130000</v>
      </c>
      <c r="R10" s="23"/>
    </row>
    <row r="11" spans="1:18" ht="13.5" thickTop="1" x14ac:dyDescent="0.2">
      <c r="A11" s="40"/>
      <c r="B11" s="45" t="s">
        <v>4</v>
      </c>
      <c r="C11" s="25">
        <f t="shared" ref="C11:H11" si="2">SUM(C8:C10)</f>
        <v>557201</v>
      </c>
      <c r="D11" s="25">
        <f t="shared" si="2"/>
        <v>506504.65000000008</v>
      </c>
      <c r="E11" s="25">
        <f t="shared" si="2"/>
        <v>0</v>
      </c>
      <c r="F11" s="25">
        <f t="shared" si="2"/>
        <v>38000</v>
      </c>
      <c r="G11" s="25">
        <f t="shared" si="2"/>
        <v>0</v>
      </c>
      <c r="H11" s="25">
        <f t="shared" si="2"/>
        <v>0</v>
      </c>
      <c r="I11" s="25">
        <f>SUM(C11:H11)</f>
        <v>1101705.6500000001</v>
      </c>
      <c r="J11" s="68"/>
      <c r="K11" s="89"/>
      <c r="L11" s="25">
        <f t="shared" ref="L11:P11" si="3">SUM(L8:L10)</f>
        <v>1648364</v>
      </c>
      <c r="M11" s="25">
        <f t="shared" si="3"/>
        <v>0</v>
      </c>
      <c r="N11" s="25">
        <f t="shared" si="3"/>
        <v>292500</v>
      </c>
      <c r="O11" s="25">
        <f t="shared" si="3"/>
        <v>912859</v>
      </c>
      <c r="P11" s="25">
        <f t="shared" si="3"/>
        <v>49500</v>
      </c>
      <c r="Q11" s="25">
        <f>SUM(L11:P11)</f>
        <v>2903223</v>
      </c>
      <c r="R11" s="23"/>
    </row>
    <row r="12" spans="1:18" s="5" customFormat="1" x14ac:dyDescent="0.2">
      <c r="A12" s="91"/>
      <c r="B12" s="26"/>
      <c r="C12" s="26"/>
      <c r="D12" s="26"/>
      <c r="E12" s="26"/>
      <c r="F12" s="26"/>
      <c r="G12" s="26"/>
      <c r="H12" s="26"/>
      <c r="I12" s="26"/>
      <c r="J12" s="26"/>
      <c r="K12" s="92"/>
      <c r="L12" s="26"/>
      <c r="M12" s="26"/>
      <c r="N12" s="26"/>
      <c r="O12" s="26"/>
      <c r="P12" s="26"/>
      <c r="Q12" s="26"/>
      <c r="R12" s="10"/>
    </row>
    <row r="13" spans="1:18" x14ac:dyDescent="0.2">
      <c r="A13" s="88">
        <v>3</v>
      </c>
      <c r="B13" s="32" t="s">
        <v>94</v>
      </c>
      <c r="C13" s="22">
        <f>'[3]Clarendon Revenue'!$B$11</f>
        <v>75000</v>
      </c>
      <c r="D13" s="22">
        <f>'[3]Clarendon Revenue'!$B$3</f>
        <v>89141.159999999989</v>
      </c>
      <c r="E13" s="22">
        <v>0</v>
      </c>
      <c r="F13" s="22">
        <v>0</v>
      </c>
      <c r="G13" s="22">
        <v>0</v>
      </c>
      <c r="H13" s="22">
        <v>0</v>
      </c>
      <c r="I13" s="22">
        <f>SUM(C13:H13)</f>
        <v>164141.15999999997</v>
      </c>
      <c r="J13" s="67"/>
      <c r="K13" s="50"/>
      <c r="L13" s="22">
        <v>0</v>
      </c>
      <c r="M13" s="22">
        <v>0</v>
      </c>
      <c r="N13" s="22">
        <v>0</v>
      </c>
      <c r="O13" s="22">
        <v>0</v>
      </c>
      <c r="P13" s="22">
        <v>0</v>
      </c>
      <c r="Q13" s="22">
        <f>SUM(L13:P13)</f>
        <v>0</v>
      </c>
      <c r="R13" s="23"/>
    </row>
    <row r="14" spans="1:18" x14ac:dyDescent="0.2">
      <c r="A14" s="88">
        <v>3</v>
      </c>
      <c r="B14" s="32" t="s">
        <v>95</v>
      </c>
      <c r="C14" s="22">
        <f>'[3]Lee Revenue '!$B$11</f>
        <v>40000</v>
      </c>
      <c r="D14" s="22">
        <f>'[3]Lee Revenue '!$B$3</f>
        <v>48991.83</v>
      </c>
      <c r="E14" s="22">
        <v>0</v>
      </c>
      <c r="F14" s="22">
        <v>0</v>
      </c>
      <c r="G14" s="22">
        <v>0</v>
      </c>
      <c r="H14" s="22">
        <v>0</v>
      </c>
      <c r="I14" s="22">
        <f>SUM(C14:H14)</f>
        <v>88991.83</v>
      </c>
      <c r="J14" s="67"/>
      <c r="K14" s="50"/>
      <c r="L14" s="22">
        <v>0</v>
      </c>
      <c r="M14" s="22">
        <v>0</v>
      </c>
      <c r="N14" s="22">
        <v>0</v>
      </c>
      <c r="O14" s="22">
        <v>0</v>
      </c>
      <c r="P14" s="22">
        <v>0</v>
      </c>
      <c r="Q14" s="22">
        <f>SUM(L14:P14)</f>
        <v>0</v>
      </c>
      <c r="R14" s="23"/>
    </row>
    <row r="15" spans="1:18" ht="38.25" x14ac:dyDescent="0.2">
      <c r="A15" s="88">
        <v>3</v>
      </c>
      <c r="B15" s="32" t="s">
        <v>96</v>
      </c>
      <c r="C15" s="22">
        <f>'[3]Sumter Revenue '!$B$11</f>
        <v>225000</v>
      </c>
      <c r="D15" s="22">
        <f>'[3]Sumter Revenue '!$B$3</f>
        <v>273905.64999999997</v>
      </c>
      <c r="E15" s="22">
        <v>0</v>
      </c>
      <c r="F15" s="22">
        <v>0</v>
      </c>
      <c r="G15" s="22">
        <v>0</v>
      </c>
      <c r="H15" s="22">
        <v>0</v>
      </c>
      <c r="I15" s="22">
        <f>SUM(C15:H15)</f>
        <v>498905.64999999997</v>
      </c>
      <c r="J15" s="67"/>
      <c r="K15" s="50"/>
      <c r="L15" s="22">
        <v>483479</v>
      </c>
      <c r="M15" s="22">
        <v>0</v>
      </c>
      <c r="N15" s="22">
        <v>115247</v>
      </c>
      <c r="O15" s="22">
        <v>1220070.81</v>
      </c>
      <c r="P15" s="22">
        <v>0</v>
      </c>
      <c r="Q15" s="22">
        <f>SUM(L15:P15)</f>
        <v>1818796.81</v>
      </c>
      <c r="R15" s="23" t="s">
        <v>97</v>
      </c>
    </row>
    <row r="16" spans="1:18" ht="13.5" thickBot="1" x14ac:dyDescent="0.25">
      <c r="A16" s="88">
        <v>3</v>
      </c>
      <c r="B16" s="32" t="s">
        <v>98</v>
      </c>
      <c r="C16" s="24">
        <v>31853</v>
      </c>
      <c r="D16" s="24">
        <v>87744.319999999992</v>
      </c>
      <c r="E16" s="24">
        <v>0</v>
      </c>
      <c r="F16" s="24">
        <v>0</v>
      </c>
      <c r="G16" s="24">
        <v>0</v>
      </c>
      <c r="H16" s="24">
        <v>0</v>
      </c>
      <c r="I16" s="24">
        <f>SUM(C16:H16)</f>
        <v>119597.31999999999</v>
      </c>
      <c r="J16" s="67"/>
      <c r="K16" s="50"/>
      <c r="L16" s="24">
        <v>0</v>
      </c>
      <c r="M16" s="24">
        <v>0</v>
      </c>
      <c r="N16" s="24">
        <v>0</v>
      </c>
      <c r="O16" s="24">
        <v>0</v>
      </c>
      <c r="P16" s="24">
        <v>0</v>
      </c>
      <c r="Q16" s="24">
        <f>SUM(L16:P16)</f>
        <v>0</v>
      </c>
      <c r="R16" s="23"/>
    </row>
    <row r="17" spans="1:18" ht="13.5" thickTop="1" x14ac:dyDescent="0.2">
      <c r="A17" s="40"/>
      <c r="B17" s="45" t="s">
        <v>4</v>
      </c>
      <c r="C17" s="25">
        <f t="shared" ref="C17:H17" si="4">SUM(C13:C16)</f>
        <v>371853</v>
      </c>
      <c r="D17" s="25">
        <f t="shared" si="4"/>
        <v>499782.95999999996</v>
      </c>
      <c r="E17" s="25">
        <f t="shared" si="4"/>
        <v>0</v>
      </c>
      <c r="F17" s="25">
        <f t="shared" si="4"/>
        <v>0</v>
      </c>
      <c r="G17" s="25">
        <f t="shared" si="4"/>
        <v>0</v>
      </c>
      <c r="H17" s="25">
        <f t="shared" si="4"/>
        <v>0</v>
      </c>
      <c r="I17" s="25">
        <f>SUM(C17:H17)</f>
        <v>871635.96</v>
      </c>
      <c r="J17" s="68"/>
      <c r="K17" s="89"/>
      <c r="L17" s="25">
        <f t="shared" ref="L17:P17" si="5">SUM(L13:L16)</f>
        <v>483479</v>
      </c>
      <c r="M17" s="25">
        <f t="shared" si="5"/>
        <v>0</v>
      </c>
      <c r="N17" s="25">
        <f t="shared" si="5"/>
        <v>115247</v>
      </c>
      <c r="O17" s="25">
        <f t="shared" si="5"/>
        <v>1220070.81</v>
      </c>
      <c r="P17" s="25">
        <f t="shared" si="5"/>
        <v>0</v>
      </c>
      <c r="Q17" s="25">
        <f>SUM(L17:P17)</f>
        <v>1818796.81</v>
      </c>
      <c r="R17" s="23"/>
    </row>
    <row r="18" spans="1:18" s="5" customFormat="1" x14ac:dyDescent="0.2">
      <c r="A18" s="91"/>
      <c r="B18" s="26"/>
      <c r="C18" s="26"/>
      <c r="D18" s="26"/>
      <c r="E18" s="26"/>
      <c r="F18" s="26"/>
      <c r="G18" s="26"/>
      <c r="H18" s="26"/>
      <c r="I18" s="26"/>
      <c r="J18" s="26"/>
      <c r="K18" s="92"/>
      <c r="L18" s="26"/>
      <c r="M18" s="26"/>
      <c r="N18" s="26"/>
      <c r="O18" s="26"/>
      <c r="P18" s="26"/>
      <c r="Q18" s="26"/>
      <c r="R18" s="10"/>
    </row>
    <row r="19" spans="1:18" x14ac:dyDescent="0.2">
      <c r="A19" s="88">
        <v>4</v>
      </c>
      <c r="B19" s="32" t="s">
        <v>99</v>
      </c>
      <c r="C19" s="22">
        <v>189050</v>
      </c>
      <c r="D19" s="22">
        <v>119125.09</v>
      </c>
      <c r="E19" s="22">
        <v>0</v>
      </c>
      <c r="F19" s="22">
        <v>0</v>
      </c>
      <c r="G19" s="22">
        <v>0</v>
      </c>
      <c r="H19" s="22">
        <v>0</v>
      </c>
      <c r="I19" s="22">
        <f>SUM(C19:H19)</f>
        <v>308175.08999999997</v>
      </c>
      <c r="J19" s="67"/>
      <c r="K19" s="50"/>
      <c r="L19" s="22">
        <v>147178</v>
      </c>
      <c r="M19" s="22">
        <v>0</v>
      </c>
      <c r="N19" s="22">
        <v>0</v>
      </c>
      <c r="O19" s="22">
        <v>0</v>
      </c>
      <c r="P19" s="22">
        <v>0</v>
      </c>
      <c r="Q19" s="22">
        <f>SUM(L19:P19)</f>
        <v>147178</v>
      </c>
      <c r="R19" s="23"/>
    </row>
    <row r="20" spans="1:18" x14ac:dyDescent="0.2">
      <c r="A20" s="88">
        <v>4</v>
      </c>
      <c r="B20" s="32" t="s">
        <v>100</v>
      </c>
      <c r="C20" s="22">
        <v>145000</v>
      </c>
      <c r="D20" s="22">
        <v>175068.02</v>
      </c>
      <c r="E20" s="22">
        <v>0</v>
      </c>
      <c r="F20" s="22">
        <v>0</v>
      </c>
      <c r="G20" s="22">
        <v>0</v>
      </c>
      <c r="H20" s="22">
        <v>0</v>
      </c>
      <c r="I20" s="22">
        <f>SUM(C20:H20)</f>
        <v>320068.02</v>
      </c>
      <c r="J20" s="67"/>
      <c r="K20" s="50"/>
      <c r="L20" s="22">
        <v>137200</v>
      </c>
      <c r="M20" s="22">
        <v>0</v>
      </c>
      <c r="N20" s="22">
        <v>0</v>
      </c>
      <c r="O20" s="22">
        <v>0</v>
      </c>
      <c r="P20" s="22">
        <v>0</v>
      </c>
      <c r="Q20" s="22">
        <f>SUM(L20:P20)</f>
        <v>137200</v>
      </c>
      <c r="R20" s="23"/>
    </row>
    <row r="21" spans="1:18" x14ac:dyDescent="0.2">
      <c r="A21" s="88">
        <v>4</v>
      </c>
      <c r="B21" s="32" t="s">
        <v>101</v>
      </c>
      <c r="C21" s="22">
        <f>'[4]Dillion Revenue '!$B$11</f>
        <v>54000</v>
      </c>
      <c r="D21" s="22">
        <f>'[4]Dillion Revenue '!$B$3</f>
        <v>81726.159999999989</v>
      </c>
      <c r="E21" s="22">
        <v>0</v>
      </c>
      <c r="F21" s="22">
        <v>0</v>
      </c>
      <c r="G21" s="22">
        <v>0</v>
      </c>
      <c r="H21" s="22">
        <v>0</v>
      </c>
      <c r="I21" s="22">
        <f>SUM(C21:H21)</f>
        <v>135726.15999999997</v>
      </c>
      <c r="J21" s="67"/>
      <c r="K21" s="50"/>
      <c r="L21" s="22">
        <v>90000</v>
      </c>
      <c r="M21" s="22">
        <v>0</v>
      </c>
      <c r="N21" s="22">
        <v>0</v>
      </c>
      <c r="O21" s="22">
        <v>0</v>
      </c>
      <c r="P21" s="22">
        <v>0</v>
      </c>
      <c r="Q21" s="22">
        <f>SUM(L21:P21)</f>
        <v>90000</v>
      </c>
      <c r="R21" s="23"/>
    </row>
    <row r="22" spans="1:18" ht="13.5" thickBot="1" x14ac:dyDescent="0.25">
      <c r="A22" s="88">
        <v>4</v>
      </c>
      <c r="B22" s="32" t="s">
        <v>102</v>
      </c>
      <c r="C22" s="24">
        <f>'[4]Marlboro Revenue'!$B$11</f>
        <v>56290</v>
      </c>
      <c r="D22" s="24">
        <f>'[4]Marlboro Revenue'!$B$3</f>
        <v>73750.3</v>
      </c>
      <c r="E22" s="24">
        <v>0</v>
      </c>
      <c r="F22" s="24">
        <v>0</v>
      </c>
      <c r="G22" s="24">
        <v>0</v>
      </c>
      <c r="H22" s="24">
        <v>0</v>
      </c>
      <c r="I22" s="24">
        <f>SUM(C22:H22)</f>
        <v>130040.3</v>
      </c>
      <c r="J22" s="67"/>
      <c r="K22" s="50"/>
      <c r="L22" s="24">
        <v>89000</v>
      </c>
      <c r="M22" s="24">
        <v>0</v>
      </c>
      <c r="N22" s="24">
        <v>0</v>
      </c>
      <c r="O22" s="24">
        <v>0</v>
      </c>
      <c r="P22" s="24">
        <v>0</v>
      </c>
      <c r="Q22" s="24">
        <f>SUM(L22:P22)</f>
        <v>89000</v>
      </c>
      <c r="R22" s="23"/>
    </row>
    <row r="23" spans="1:18" ht="64.5" thickTop="1" x14ac:dyDescent="0.2">
      <c r="A23" s="40"/>
      <c r="B23" s="45" t="s">
        <v>4</v>
      </c>
      <c r="C23" s="25">
        <f t="shared" ref="C23:H23" si="6">SUM(C19:C22)</f>
        <v>444340</v>
      </c>
      <c r="D23" s="25">
        <f t="shared" si="6"/>
        <v>449669.56999999995</v>
      </c>
      <c r="E23" s="25">
        <f t="shared" si="6"/>
        <v>0</v>
      </c>
      <c r="F23" s="25">
        <f t="shared" si="6"/>
        <v>0</v>
      </c>
      <c r="G23" s="25">
        <f t="shared" si="6"/>
        <v>0</v>
      </c>
      <c r="H23" s="25">
        <f t="shared" si="6"/>
        <v>0</v>
      </c>
      <c r="I23" s="25">
        <f>SUM(C23:H23)</f>
        <v>894009.57</v>
      </c>
      <c r="J23" s="68"/>
      <c r="K23" s="89"/>
      <c r="L23" s="25">
        <f t="shared" ref="L23:P23" si="7">SUM(L19:L22)</f>
        <v>463378</v>
      </c>
      <c r="M23" s="25">
        <f t="shared" si="7"/>
        <v>0</v>
      </c>
      <c r="N23" s="25">
        <f t="shared" si="7"/>
        <v>0</v>
      </c>
      <c r="O23" s="25">
        <v>1554230</v>
      </c>
      <c r="P23" s="25">
        <f t="shared" si="7"/>
        <v>0</v>
      </c>
      <c r="Q23" s="25">
        <f>SUM(L23:P23)</f>
        <v>2017608</v>
      </c>
      <c r="R23" s="23" t="s">
        <v>103</v>
      </c>
    </row>
    <row r="24" spans="1:18" s="5" customFormat="1" x14ac:dyDescent="0.2">
      <c r="A24" s="91"/>
      <c r="B24" s="26"/>
      <c r="C24" s="26"/>
      <c r="D24" s="26"/>
      <c r="E24" s="26"/>
      <c r="F24" s="26"/>
      <c r="G24" s="26"/>
      <c r="H24" s="26"/>
      <c r="I24" s="26"/>
      <c r="J24" s="26"/>
      <c r="K24" s="92"/>
      <c r="L24" s="26"/>
      <c r="M24" s="26"/>
      <c r="N24" s="26"/>
      <c r="O24" s="26" t="s">
        <v>104</v>
      </c>
      <c r="P24" s="26"/>
      <c r="Q24" s="26"/>
      <c r="R24" s="10"/>
    </row>
    <row r="25" spans="1:18" x14ac:dyDescent="0.2">
      <c r="A25" s="88">
        <v>5</v>
      </c>
      <c r="B25" s="32" t="s">
        <v>105</v>
      </c>
      <c r="C25" s="22">
        <f>'[5]Kershaw Revenue'!$B$11</f>
        <v>150000</v>
      </c>
      <c r="D25" s="22">
        <f>'[5]Kershaw Revenue'!$B$3</f>
        <v>157265.61000000002</v>
      </c>
      <c r="E25" s="22">
        <v>0</v>
      </c>
      <c r="F25" s="22">
        <v>0</v>
      </c>
      <c r="G25" s="22">
        <v>0</v>
      </c>
      <c r="H25" s="22">
        <v>0</v>
      </c>
      <c r="I25" s="22">
        <f>SUM(C25:H25)</f>
        <v>307265.61</v>
      </c>
      <c r="J25" s="67"/>
      <c r="K25" s="50"/>
      <c r="L25" s="22">
        <v>260000</v>
      </c>
      <c r="M25" s="22">
        <v>215817</v>
      </c>
      <c r="N25" s="22">
        <v>1260935.01</v>
      </c>
      <c r="O25" s="22">
        <v>1556604.01</v>
      </c>
      <c r="P25" s="22">
        <v>0</v>
      </c>
      <c r="Q25" s="22">
        <f>SUM(L25:P25)</f>
        <v>3293356.02</v>
      </c>
      <c r="R25" s="23"/>
    </row>
    <row r="26" spans="1:18" ht="39" thickBot="1" x14ac:dyDescent="0.25">
      <c r="A26" s="88">
        <v>5</v>
      </c>
      <c r="B26" s="32" t="s">
        <v>106</v>
      </c>
      <c r="C26" s="24">
        <f>'[5]Richland Revenue '!$B$11</f>
        <v>1567650</v>
      </c>
      <c r="D26" s="24">
        <f>'[5]Richland Revenue '!$B$3</f>
        <v>980101.69000000006</v>
      </c>
      <c r="E26" s="24">
        <v>0</v>
      </c>
      <c r="F26" s="24">
        <f>'[5]Richland Revenue '!$B$13</f>
        <v>100000</v>
      </c>
      <c r="G26" s="24">
        <f>'[5]Richland Revenue '!$B$14</f>
        <v>0</v>
      </c>
      <c r="H26" s="24">
        <f>'[5]Richland Revenue '!$B$15</f>
        <v>12000</v>
      </c>
      <c r="I26" s="24">
        <f>SUM(C26:H26)</f>
        <v>2659751.69</v>
      </c>
      <c r="J26" s="67" t="s">
        <v>107</v>
      </c>
      <c r="K26" s="50"/>
      <c r="L26" s="24">
        <v>4073295.7</v>
      </c>
      <c r="M26" s="24">
        <v>0</v>
      </c>
      <c r="N26" s="24">
        <v>0</v>
      </c>
      <c r="O26" s="24">
        <v>0</v>
      </c>
      <c r="P26" s="24">
        <v>519878</v>
      </c>
      <c r="Q26" s="24">
        <f>SUM(L26:P26)</f>
        <v>4593173.7</v>
      </c>
      <c r="R26" s="23"/>
    </row>
    <row r="27" spans="1:18" ht="13.5" thickTop="1" x14ac:dyDescent="0.2">
      <c r="A27" s="40"/>
      <c r="B27" s="45" t="s">
        <v>4</v>
      </c>
      <c r="C27" s="25">
        <f t="shared" ref="C27:H27" si="8">SUM(C25:C26)</f>
        <v>1717650</v>
      </c>
      <c r="D27" s="25">
        <f t="shared" si="8"/>
        <v>1137367.3</v>
      </c>
      <c r="E27" s="25">
        <f t="shared" si="8"/>
        <v>0</v>
      </c>
      <c r="F27" s="25">
        <f t="shared" si="8"/>
        <v>100000</v>
      </c>
      <c r="G27" s="25">
        <f t="shared" si="8"/>
        <v>0</v>
      </c>
      <c r="H27" s="25">
        <f t="shared" si="8"/>
        <v>12000</v>
      </c>
      <c r="I27" s="25">
        <f>SUM(C27:H27)</f>
        <v>2967017.3</v>
      </c>
      <c r="J27" s="68"/>
      <c r="K27" s="89"/>
      <c r="L27" s="25">
        <f t="shared" ref="L27:P27" si="9">SUM(L25:L26)</f>
        <v>4333295.7</v>
      </c>
      <c r="M27" s="25">
        <f t="shared" si="9"/>
        <v>215817</v>
      </c>
      <c r="N27" s="25">
        <f t="shared" si="9"/>
        <v>1260935.01</v>
      </c>
      <c r="O27" s="25">
        <f t="shared" si="9"/>
        <v>1556604.01</v>
      </c>
      <c r="P27" s="25">
        <f t="shared" si="9"/>
        <v>519878</v>
      </c>
      <c r="Q27" s="25">
        <f>SUM(L27:P27)</f>
        <v>7886529.7199999997</v>
      </c>
      <c r="R27" s="23"/>
    </row>
    <row r="28" spans="1:18" s="5" customFormat="1" x14ac:dyDescent="0.2">
      <c r="A28" s="91"/>
      <c r="B28" s="26"/>
      <c r="C28" s="26"/>
      <c r="D28" s="26"/>
      <c r="E28" s="26"/>
      <c r="F28" s="26"/>
      <c r="G28" s="26"/>
      <c r="H28" s="26"/>
      <c r="I28" s="26"/>
      <c r="J28" s="26"/>
      <c r="K28" s="92"/>
      <c r="L28" s="26"/>
      <c r="M28" s="26"/>
      <c r="N28" s="26"/>
      <c r="O28" s="26"/>
      <c r="P28" s="26"/>
      <c r="Q28" s="26"/>
      <c r="R28" s="10"/>
    </row>
    <row r="29" spans="1:18" x14ac:dyDescent="0.2">
      <c r="A29" s="88">
        <v>6</v>
      </c>
      <c r="B29" s="32" t="s">
        <v>108</v>
      </c>
      <c r="C29" s="22">
        <f>'[6]Chester Revenue'!$B$11</f>
        <v>100980</v>
      </c>
      <c r="D29" s="22">
        <f>'[6]Chester Revenue'!$B$3</f>
        <v>84473.930000000008</v>
      </c>
      <c r="E29" s="22">
        <v>0</v>
      </c>
      <c r="F29" s="22">
        <v>0</v>
      </c>
      <c r="G29" s="22">
        <v>0</v>
      </c>
      <c r="H29" s="22">
        <v>0</v>
      </c>
      <c r="I29" s="22">
        <f>SUM(C29:H29)</f>
        <v>185453.93</v>
      </c>
      <c r="J29" s="67"/>
      <c r="K29" s="50"/>
      <c r="L29" s="22">
        <v>100980</v>
      </c>
      <c r="M29" s="22">
        <v>0</v>
      </c>
      <c r="N29" s="22">
        <v>27773</v>
      </c>
      <c r="O29" s="22">
        <v>683551.54</v>
      </c>
      <c r="P29" s="22">
        <v>183668</v>
      </c>
      <c r="Q29" s="22">
        <f>SUM(L29:P29)</f>
        <v>995972.54</v>
      </c>
      <c r="R29" s="23"/>
    </row>
    <row r="30" spans="1:18" x14ac:dyDescent="0.2">
      <c r="A30" s="88">
        <v>6</v>
      </c>
      <c r="B30" s="32" t="s">
        <v>109</v>
      </c>
      <c r="C30" s="22">
        <v>64000</v>
      </c>
      <c r="D30" s="22">
        <v>61063.94</v>
      </c>
      <c r="E30" s="22">
        <v>0</v>
      </c>
      <c r="F30" s="22">
        <v>0</v>
      </c>
      <c r="G30" s="22">
        <v>0</v>
      </c>
      <c r="H30" s="22">
        <v>0</v>
      </c>
      <c r="I30" s="22">
        <f>SUM(C30:H30)</f>
        <v>125063.94</v>
      </c>
      <c r="J30" s="67"/>
      <c r="K30" s="50"/>
      <c r="L30" s="22">
        <v>77000</v>
      </c>
      <c r="M30" s="22">
        <v>0</v>
      </c>
      <c r="N30" s="22">
        <v>21871.8</v>
      </c>
      <c r="O30" s="22">
        <v>0</v>
      </c>
      <c r="P30" s="22">
        <v>0</v>
      </c>
      <c r="Q30" s="22">
        <f>SUM(L30:P30)</f>
        <v>98871.8</v>
      </c>
      <c r="R30" s="23"/>
    </row>
    <row r="31" spans="1:18" ht="13.5" thickBot="1" x14ac:dyDescent="0.25">
      <c r="A31" s="88">
        <v>6</v>
      </c>
      <c r="B31" s="32" t="s">
        <v>110</v>
      </c>
      <c r="C31" s="24">
        <f>'[6]Lancaster Revenue'!$B$11</f>
        <v>270000</v>
      </c>
      <c r="D31" s="24">
        <f>'[6]Lancaster Revenue'!$B$3</f>
        <v>195386.13999999998</v>
      </c>
      <c r="E31" s="24">
        <v>0</v>
      </c>
      <c r="F31" s="24">
        <v>0</v>
      </c>
      <c r="G31" s="24">
        <v>0</v>
      </c>
      <c r="H31" s="24">
        <v>0</v>
      </c>
      <c r="I31" s="24">
        <f>SUM(C31:H31)</f>
        <v>465386.14</v>
      </c>
      <c r="J31" s="67"/>
      <c r="K31" s="50"/>
      <c r="L31" s="24">
        <v>332000</v>
      </c>
      <c r="M31" s="24">
        <v>0</v>
      </c>
      <c r="N31" s="24">
        <v>83395</v>
      </c>
      <c r="O31" s="24">
        <v>0</v>
      </c>
      <c r="P31" s="24">
        <v>0</v>
      </c>
      <c r="Q31" s="24">
        <f>SUM(L31:P31)</f>
        <v>415395</v>
      </c>
      <c r="R31" s="23"/>
    </row>
    <row r="32" spans="1:18" ht="13.5" thickTop="1" x14ac:dyDescent="0.2">
      <c r="A32" s="40"/>
      <c r="B32" s="45" t="s">
        <v>4</v>
      </c>
      <c r="C32" s="25">
        <f t="shared" ref="C32:H32" si="10">SUM(C29:C31)</f>
        <v>434980</v>
      </c>
      <c r="D32" s="25">
        <f t="shared" si="10"/>
        <v>340924.01</v>
      </c>
      <c r="E32" s="25">
        <f t="shared" si="10"/>
        <v>0</v>
      </c>
      <c r="F32" s="25">
        <f t="shared" si="10"/>
        <v>0</v>
      </c>
      <c r="G32" s="25">
        <f t="shared" si="10"/>
        <v>0</v>
      </c>
      <c r="H32" s="25">
        <f t="shared" si="10"/>
        <v>0</v>
      </c>
      <c r="I32" s="25">
        <f>SUM(C32:H32)</f>
        <v>775904.01</v>
      </c>
      <c r="J32" s="68"/>
      <c r="K32" s="89"/>
      <c r="L32" s="25">
        <f t="shared" ref="L32:P32" si="11">SUM(L29:L31)</f>
        <v>509980</v>
      </c>
      <c r="M32" s="25">
        <f t="shared" si="11"/>
        <v>0</v>
      </c>
      <c r="N32" s="25">
        <f t="shared" si="11"/>
        <v>133039.79999999999</v>
      </c>
      <c r="O32" s="25">
        <f t="shared" si="11"/>
        <v>683551.54</v>
      </c>
      <c r="P32" s="25">
        <f t="shared" si="11"/>
        <v>183668</v>
      </c>
      <c r="Q32" s="25">
        <f>SUM(L32:P32)</f>
        <v>1510239.34</v>
      </c>
      <c r="R32" s="23"/>
    </row>
    <row r="33" spans="1:18" s="5" customFormat="1" x14ac:dyDescent="0.2">
      <c r="A33" s="91"/>
      <c r="B33" s="26"/>
      <c r="C33" s="26"/>
      <c r="D33" s="26"/>
      <c r="E33" s="26"/>
      <c r="F33" s="26"/>
      <c r="G33" s="26"/>
      <c r="H33" s="26"/>
      <c r="I33" s="26"/>
      <c r="J33" s="26"/>
      <c r="K33" s="92"/>
      <c r="L33" s="26"/>
      <c r="M33" s="26"/>
      <c r="N33" s="26"/>
      <c r="O33" s="26"/>
      <c r="P33" s="26"/>
      <c r="Q33" s="26"/>
      <c r="R33" s="10"/>
    </row>
    <row r="34" spans="1:18" x14ac:dyDescent="0.2">
      <c r="A34" s="88">
        <v>7</v>
      </c>
      <c r="B34" s="32" t="s">
        <v>111</v>
      </c>
      <c r="C34" s="22">
        <f>'[7]Cherokee Revenue'!$B$11</f>
        <v>140000</v>
      </c>
      <c r="D34" s="22">
        <f>'[7]Cherokee Revenue'!$B$3</f>
        <v>141066.93</v>
      </c>
      <c r="E34" s="22">
        <v>0</v>
      </c>
      <c r="F34" s="22">
        <v>0</v>
      </c>
      <c r="G34" s="22">
        <v>0</v>
      </c>
      <c r="H34" s="22">
        <v>0</v>
      </c>
      <c r="I34" s="22">
        <f>SUM(C34:H34)</f>
        <v>281066.93</v>
      </c>
      <c r="J34" s="70"/>
      <c r="K34" s="52"/>
      <c r="L34" s="22">
        <v>63107.03</v>
      </c>
      <c r="M34" s="22">
        <v>0</v>
      </c>
      <c r="N34" s="22">
        <v>0</v>
      </c>
      <c r="O34" s="22">
        <v>0</v>
      </c>
      <c r="P34" s="22">
        <v>0</v>
      </c>
      <c r="Q34" s="22">
        <f>SUM(L34:P34)</f>
        <v>63107.03</v>
      </c>
      <c r="R34" s="23"/>
    </row>
    <row r="35" spans="1:18" ht="13.5" thickBot="1" x14ac:dyDescent="0.25">
      <c r="A35" s="88">
        <v>7</v>
      </c>
      <c r="B35" s="32" t="s">
        <v>112</v>
      </c>
      <c r="C35" s="24">
        <v>1116169</v>
      </c>
      <c r="D35" s="24">
        <v>724699.35</v>
      </c>
      <c r="E35" s="24">
        <v>0</v>
      </c>
      <c r="F35" s="24">
        <v>0</v>
      </c>
      <c r="G35" s="24">
        <v>0</v>
      </c>
      <c r="H35" s="24">
        <v>0</v>
      </c>
      <c r="I35" s="24">
        <f>SUM(C35:H35)</f>
        <v>1840868.35</v>
      </c>
      <c r="J35" s="70"/>
      <c r="K35" s="52"/>
      <c r="L35" s="24">
        <v>0</v>
      </c>
      <c r="M35" s="24">
        <v>0</v>
      </c>
      <c r="N35" s="24">
        <v>0</v>
      </c>
      <c r="O35" s="24">
        <v>0</v>
      </c>
      <c r="P35" s="24">
        <v>0</v>
      </c>
      <c r="Q35" s="24">
        <f>SUM(L35:P35)</f>
        <v>0</v>
      </c>
      <c r="R35" s="23"/>
    </row>
    <row r="36" spans="1:18" ht="13.5" thickTop="1" x14ac:dyDescent="0.2">
      <c r="A36" s="40"/>
      <c r="B36" s="45" t="s">
        <v>4</v>
      </c>
      <c r="C36" s="25">
        <f t="shared" ref="C36:H36" si="12">SUM(C34:C35)</f>
        <v>1256169</v>
      </c>
      <c r="D36" s="25">
        <f t="shared" si="12"/>
        <v>865766.28</v>
      </c>
      <c r="E36" s="25">
        <f t="shared" si="12"/>
        <v>0</v>
      </c>
      <c r="F36" s="25">
        <f t="shared" si="12"/>
        <v>0</v>
      </c>
      <c r="G36" s="25">
        <f t="shared" si="12"/>
        <v>0</v>
      </c>
      <c r="H36" s="25">
        <f t="shared" si="12"/>
        <v>0</v>
      </c>
      <c r="I36" s="25">
        <f>SUM(C36:H36)</f>
        <v>2121935.2800000003</v>
      </c>
      <c r="J36" s="68"/>
      <c r="K36" s="89"/>
      <c r="L36" s="25">
        <f t="shared" ref="L36:P36" si="13">SUM(L34:L35)</f>
        <v>63107.03</v>
      </c>
      <c r="M36" s="25">
        <f t="shared" si="13"/>
        <v>0</v>
      </c>
      <c r="N36" s="25">
        <f t="shared" si="13"/>
        <v>0</v>
      </c>
      <c r="O36" s="25">
        <f t="shared" si="13"/>
        <v>0</v>
      </c>
      <c r="P36" s="25">
        <f t="shared" si="13"/>
        <v>0</v>
      </c>
      <c r="Q36" s="25">
        <f>SUM(L36:P36)</f>
        <v>63107.03</v>
      </c>
      <c r="R36" s="23"/>
    </row>
    <row r="37" spans="1:18" s="5" customFormat="1" x14ac:dyDescent="0.2">
      <c r="A37" s="91"/>
      <c r="B37" s="26"/>
      <c r="C37" s="26"/>
      <c r="D37" s="26"/>
      <c r="E37" s="26"/>
      <c r="F37" s="26"/>
      <c r="G37" s="26"/>
      <c r="H37" s="26"/>
      <c r="I37" s="26"/>
      <c r="J37" s="26"/>
      <c r="K37" s="92"/>
      <c r="L37" s="26"/>
      <c r="M37" s="26"/>
      <c r="N37" s="26"/>
      <c r="O37" s="26"/>
      <c r="P37" s="26"/>
      <c r="Q37" s="26"/>
      <c r="R37" s="10"/>
    </row>
    <row r="38" spans="1:18" x14ac:dyDescent="0.2">
      <c r="A38" s="88">
        <v>8</v>
      </c>
      <c r="B38" s="32" t="s">
        <v>113</v>
      </c>
      <c r="C38" s="22">
        <f>'[8]Abbeville Revenue'!$B$11</f>
        <v>26790</v>
      </c>
      <c r="D38" s="22">
        <f>'[8]Abbeville Revenue'!$B$3</f>
        <v>64788.05</v>
      </c>
      <c r="E38" s="22">
        <v>0</v>
      </c>
      <c r="F38" s="22">
        <v>0</v>
      </c>
      <c r="G38" s="22">
        <v>0</v>
      </c>
      <c r="H38" s="22">
        <v>0</v>
      </c>
      <c r="I38" s="22">
        <f>SUM(C38:H38)</f>
        <v>91578.05</v>
      </c>
      <c r="J38" s="67"/>
      <c r="K38" s="50"/>
      <c r="L38" s="22">
        <v>0</v>
      </c>
      <c r="M38" s="22">
        <v>0</v>
      </c>
      <c r="N38" s="22">
        <v>0</v>
      </c>
      <c r="O38" s="22">
        <v>0</v>
      </c>
      <c r="P38" s="22">
        <v>0</v>
      </c>
      <c r="Q38" s="22">
        <v>0</v>
      </c>
      <c r="R38" s="23"/>
    </row>
    <row r="39" spans="1:18" x14ac:dyDescent="0.2">
      <c r="A39" s="88">
        <v>8</v>
      </c>
      <c r="B39" s="32" t="s">
        <v>114</v>
      </c>
      <c r="C39" s="22">
        <f>'[8]Greenwood Revenue'!$B$11</f>
        <v>149000</v>
      </c>
      <c r="D39" s="22">
        <f>'[8]Greenwood Revenue'!$B$3</f>
        <v>177566.09999999998</v>
      </c>
      <c r="E39" s="22">
        <v>0</v>
      </c>
      <c r="F39" s="22">
        <v>0</v>
      </c>
      <c r="G39" s="22">
        <v>0</v>
      </c>
      <c r="H39" s="22">
        <v>0</v>
      </c>
      <c r="I39" s="22">
        <f>SUM(C39:H39)</f>
        <v>326566.09999999998</v>
      </c>
      <c r="J39" s="67"/>
      <c r="K39" s="50"/>
      <c r="L39" s="22">
        <v>0</v>
      </c>
      <c r="M39" s="22">
        <v>0</v>
      </c>
      <c r="N39" s="22">
        <v>0</v>
      </c>
      <c r="O39" s="22">
        <v>0</v>
      </c>
      <c r="P39" s="22">
        <v>0</v>
      </c>
      <c r="Q39" s="22">
        <f>SUM(L39:P39)</f>
        <v>0</v>
      </c>
      <c r="R39" s="23"/>
    </row>
    <row r="40" spans="1:18" x14ac:dyDescent="0.2">
      <c r="A40" s="88">
        <v>8</v>
      </c>
      <c r="B40" s="32" t="s">
        <v>115</v>
      </c>
      <c r="C40" s="22">
        <f>'[8]Laurens Revenue'!$B$11</f>
        <v>86000</v>
      </c>
      <c r="D40" s="22">
        <f>'[8]Laurens Revenue'!$B$3</f>
        <v>169602.96</v>
      </c>
      <c r="E40" s="22">
        <v>0</v>
      </c>
      <c r="F40" s="22">
        <v>0</v>
      </c>
      <c r="G40" s="22">
        <v>0</v>
      </c>
      <c r="H40" s="22">
        <v>0</v>
      </c>
      <c r="I40" s="22">
        <f>SUM(C40:H40)</f>
        <v>255602.96</v>
      </c>
      <c r="J40" s="67"/>
      <c r="K40" s="50"/>
      <c r="L40" s="22">
        <v>0</v>
      </c>
      <c r="M40" s="22">
        <v>0</v>
      </c>
      <c r="N40" s="22">
        <v>0</v>
      </c>
      <c r="O40" s="22">
        <v>0</v>
      </c>
      <c r="P40" s="22">
        <v>0</v>
      </c>
      <c r="Q40" s="22">
        <f>SUM(L40:P40)</f>
        <v>0</v>
      </c>
      <c r="R40" s="23"/>
    </row>
    <row r="41" spans="1:18" ht="13.5" thickBot="1" x14ac:dyDescent="0.25">
      <c r="A41" s="88">
        <v>8</v>
      </c>
      <c r="B41" s="32" t="s">
        <v>116</v>
      </c>
      <c r="C41" s="24">
        <f>'[8]Newberry Revenue'!$B$11</f>
        <v>70475</v>
      </c>
      <c r="D41" s="24">
        <f>'[8]Newberry Revenue'!$B$3</f>
        <v>95607.999999999985</v>
      </c>
      <c r="E41" s="24">
        <v>0</v>
      </c>
      <c r="F41" s="24">
        <v>0</v>
      </c>
      <c r="G41" s="24">
        <v>0</v>
      </c>
      <c r="H41" s="24">
        <v>0</v>
      </c>
      <c r="I41" s="24">
        <f>SUM(C41:H41)</f>
        <v>166083</v>
      </c>
      <c r="J41" s="67"/>
      <c r="K41" s="50"/>
      <c r="L41" s="24">
        <v>0</v>
      </c>
      <c r="M41" s="24">
        <v>0</v>
      </c>
      <c r="N41" s="24">
        <v>0</v>
      </c>
      <c r="O41" s="24">
        <v>0</v>
      </c>
      <c r="P41" s="24">
        <v>0</v>
      </c>
      <c r="Q41" s="24">
        <f>SUM(L41:P41)</f>
        <v>0</v>
      </c>
      <c r="R41" s="23"/>
    </row>
    <row r="42" spans="1:18" ht="51.75" thickTop="1" x14ac:dyDescent="0.2">
      <c r="A42" s="40"/>
      <c r="B42" s="45" t="s">
        <v>4</v>
      </c>
      <c r="C42" s="25">
        <f t="shared" ref="C42:H42" si="14">SUM(C38:C41)</f>
        <v>332265</v>
      </c>
      <c r="D42" s="25">
        <f t="shared" si="14"/>
        <v>507565.11</v>
      </c>
      <c r="E42" s="25">
        <f t="shared" si="14"/>
        <v>0</v>
      </c>
      <c r="F42" s="25">
        <f t="shared" si="14"/>
        <v>0</v>
      </c>
      <c r="G42" s="25">
        <f t="shared" si="14"/>
        <v>0</v>
      </c>
      <c r="H42" s="25">
        <f t="shared" si="14"/>
        <v>0</v>
      </c>
      <c r="I42" s="25">
        <f>SUM(C42:H42)</f>
        <v>839830.11</v>
      </c>
      <c r="J42" s="71"/>
      <c r="K42" s="93"/>
      <c r="L42" s="25">
        <v>782505</v>
      </c>
      <c r="M42" s="25">
        <f t="shared" ref="M42" si="15">SUM(M38:M41)</f>
        <v>0</v>
      </c>
      <c r="N42" s="25">
        <v>400617.08</v>
      </c>
      <c r="O42" s="25">
        <v>901772.53</v>
      </c>
      <c r="P42" s="25">
        <v>102928</v>
      </c>
      <c r="Q42" s="25">
        <f>SUM(L42:P42)</f>
        <v>2187822.6100000003</v>
      </c>
      <c r="R42" s="23" t="s">
        <v>117</v>
      </c>
    </row>
    <row r="43" spans="1:18" s="5" customFormat="1" x14ac:dyDescent="0.2">
      <c r="A43" s="91"/>
      <c r="B43" s="26"/>
      <c r="C43" s="26"/>
      <c r="D43" s="26"/>
      <c r="E43" s="26"/>
      <c r="F43" s="26"/>
      <c r="G43" s="26"/>
      <c r="H43" s="26"/>
      <c r="I43" s="26"/>
      <c r="J43" s="26"/>
      <c r="K43" s="92"/>
      <c r="L43" s="26"/>
      <c r="M43" s="26"/>
      <c r="N43" s="26"/>
      <c r="O43" s="26"/>
      <c r="P43" s="26"/>
      <c r="Q43" s="26"/>
      <c r="R43" s="10"/>
    </row>
    <row r="44" spans="1:18" s="29" customFormat="1" x14ac:dyDescent="0.2">
      <c r="A44" s="88">
        <v>9</v>
      </c>
      <c r="B44" s="32" t="s">
        <v>118</v>
      </c>
      <c r="C44" s="22">
        <f>'[9]Berkeley Revenue'!$B$11</f>
        <v>413139</v>
      </c>
      <c r="D44" s="22">
        <f>'[9]Berkeley Revenue'!$B$3</f>
        <v>453322.24000000005</v>
      </c>
      <c r="E44" s="22">
        <v>0</v>
      </c>
      <c r="F44" s="22">
        <v>0</v>
      </c>
      <c r="G44" s="22">
        <f>'[9]Berkeley Revenue'!$B$14</f>
        <v>87257.12</v>
      </c>
      <c r="H44" s="22">
        <v>0</v>
      </c>
      <c r="I44" s="22">
        <f>SUM(C44:H44)</f>
        <v>953718.36</v>
      </c>
      <c r="J44" s="70"/>
      <c r="K44" s="52"/>
      <c r="L44" s="22">
        <v>1310586.43</v>
      </c>
      <c r="M44" s="22">
        <v>0</v>
      </c>
      <c r="N44" s="22">
        <v>238707.95</v>
      </c>
      <c r="O44" s="22">
        <v>284881.8</v>
      </c>
      <c r="P44" s="22">
        <v>0</v>
      </c>
      <c r="Q44" s="22">
        <f>SUM(L44:P44)</f>
        <v>1834176.18</v>
      </c>
      <c r="R44" s="23"/>
    </row>
    <row r="45" spans="1:18" s="29" customFormat="1" ht="13.5" thickBot="1" x14ac:dyDescent="0.25">
      <c r="A45" s="88">
        <v>9</v>
      </c>
      <c r="B45" s="32" t="s">
        <v>119</v>
      </c>
      <c r="C45" s="24">
        <v>3097292</v>
      </c>
      <c r="D45" s="24">
        <v>892683.75</v>
      </c>
      <c r="E45" s="24">
        <v>0</v>
      </c>
      <c r="F45" s="24">
        <v>50000</v>
      </c>
      <c r="G45" s="24">
        <v>280899.56</v>
      </c>
      <c r="H45" s="24">
        <v>0</v>
      </c>
      <c r="I45" s="24">
        <f>SUM(C45:H45)</f>
        <v>4320875.3099999996</v>
      </c>
      <c r="J45" s="70"/>
      <c r="K45" s="52"/>
      <c r="L45" s="24">
        <v>5736980.1799999997</v>
      </c>
      <c r="M45" s="24">
        <v>183489.4</v>
      </c>
      <c r="N45" s="24">
        <v>723065.72</v>
      </c>
      <c r="O45" s="24">
        <v>1624255.47</v>
      </c>
      <c r="P45" s="24">
        <v>332947.53999999998</v>
      </c>
      <c r="Q45" s="24">
        <f>SUM(L45:P45)</f>
        <v>8600738.3099999987</v>
      </c>
      <c r="R45" s="23"/>
    </row>
    <row r="46" spans="1:18" ht="13.5" thickTop="1" x14ac:dyDescent="0.2">
      <c r="A46" s="40"/>
      <c r="B46" s="45" t="s">
        <v>4</v>
      </c>
      <c r="C46" s="25">
        <f t="shared" ref="C46:I46" si="16">SUM(C44:C45)</f>
        <v>3510431</v>
      </c>
      <c r="D46" s="25">
        <f t="shared" si="16"/>
        <v>1346005.99</v>
      </c>
      <c r="E46" s="25">
        <f t="shared" si="16"/>
        <v>0</v>
      </c>
      <c r="F46" s="25">
        <f t="shared" si="16"/>
        <v>50000</v>
      </c>
      <c r="G46" s="25">
        <f t="shared" si="16"/>
        <v>368156.68</v>
      </c>
      <c r="H46" s="25">
        <f t="shared" si="16"/>
        <v>0</v>
      </c>
      <c r="I46" s="25">
        <f t="shared" si="16"/>
        <v>5274593.67</v>
      </c>
      <c r="J46" s="71"/>
      <c r="K46" s="93"/>
      <c r="L46" s="25">
        <f t="shared" ref="L46:P46" si="17">SUM(L44:L45)</f>
        <v>7047566.6099999994</v>
      </c>
      <c r="M46" s="25">
        <f t="shared" si="17"/>
        <v>183489.4</v>
      </c>
      <c r="N46" s="25">
        <f t="shared" si="17"/>
        <v>961773.66999999993</v>
      </c>
      <c r="O46" s="25">
        <f t="shared" si="17"/>
        <v>1909137.27</v>
      </c>
      <c r="P46" s="25">
        <f t="shared" si="17"/>
        <v>332947.53999999998</v>
      </c>
      <c r="Q46" s="25">
        <f>SUM(L46:P46)</f>
        <v>10434914.489999998</v>
      </c>
      <c r="R46" s="23"/>
    </row>
    <row r="47" spans="1:18" x14ac:dyDescent="0.2">
      <c r="A47" s="90"/>
      <c r="B47" s="72"/>
      <c r="C47" s="10"/>
      <c r="D47" s="10"/>
      <c r="E47" s="10"/>
      <c r="F47" s="10"/>
      <c r="G47" s="10"/>
      <c r="H47" s="10"/>
      <c r="I47" s="10"/>
      <c r="J47" s="72"/>
      <c r="K47" s="94"/>
      <c r="L47" s="10"/>
      <c r="M47" s="10"/>
      <c r="N47" s="10"/>
      <c r="O47" s="10"/>
      <c r="P47" s="10"/>
      <c r="Q47" s="10"/>
      <c r="R47" s="28"/>
    </row>
    <row r="48" spans="1:18" x14ac:dyDescent="0.2">
      <c r="A48" s="88">
        <v>10</v>
      </c>
      <c r="B48" s="32" t="s">
        <v>120</v>
      </c>
      <c r="C48" s="22">
        <f>'[10]Anderson Revenue'!$B$11</f>
        <v>338775</v>
      </c>
      <c r="D48" s="22">
        <f>'[10]Anderson Revenue'!$B$3</f>
        <v>476984.64</v>
      </c>
      <c r="E48" s="22">
        <v>0</v>
      </c>
      <c r="F48" s="22">
        <v>0</v>
      </c>
      <c r="G48" s="22">
        <v>0</v>
      </c>
      <c r="H48" s="22">
        <v>0</v>
      </c>
      <c r="I48" s="22">
        <f>SUM(C48:H48)</f>
        <v>815759.64</v>
      </c>
      <c r="J48" s="67"/>
      <c r="K48" s="50"/>
      <c r="L48" s="22">
        <v>1554171.44</v>
      </c>
      <c r="M48" s="22">
        <v>0</v>
      </c>
      <c r="N48" s="22">
        <v>382827.7</v>
      </c>
      <c r="O48" s="22">
        <v>745917.7</v>
      </c>
      <c r="P48" s="22">
        <v>0</v>
      </c>
      <c r="Q48" s="22">
        <f>SUM(L48:P48)</f>
        <v>2682916.84</v>
      </c>
      <c r="R48" s="23"/>
    </row>
    <row r="49" spans="1:18" ht="13.5" thickBot="1" x14ac:dyDescent="0.25">
      <c r="A49" s="88">
        <v>10</v>
      </c>
      <c r="B49" s="32" t="s">
        <v>121</v>
      </c>
      <c r="C49" s="24">
        <f>'[10]Oconee Revenue '!$B$11</f>
        <v>200000</v>
      </c>
      <c r="D49" s="24">
        <f>'[10]Oconee Revenue '!$B$3</f>
        <v>189322.11</v>
      </c>
      <c r="E49" s="24">
        <v>0</v>
      </c>
      <c r="F49" s="24">
        <v>0</v>
      </c>
      <c r="G49" s="24">
        <v>0</v>
      </c>
      <c r="H49" s="24">
        <v>0</v>
      </c>
      <c r="I49" s="24">
        <f>SUM(C49:H49)</f>
        <v>389322.11</v>
      </c>
      <c r="J49" s="67"/>
      <c r="K49" s="50"/>
      <c r="L49" s="24">
        <v>720257.1</v>
      </c>
      <c r="M49" s="24">
        <v>0</v>
      </c>
      <c r="N49" s="24">
        <v>91892.34</v>
      </c>
      <c r="O49" s="24">
        <v>0</v>
      </c>
      <c r="P49" s="24">
        <v>0</v>
      </c>
      <c r="Q49" s="24">
        <f>SUM(L49:P49)</f>
        <v>812149.44</v>
      </c>
      <c r="R49" s="23"/>
    </row>
    <row r="50" spans="1:18" ht="13.5" thickTop="1" x14ac:dyDescent="0.2">
      <c r="A50" s="40"/>
      <c r="B50" s="45" t="s">
        <v>4</v>
      </c>
      <c r="C50" s="25">
        <f t="shared" ref="C50:H50" si="18">SUM(C48:C49)</f>
        <v>538775</v>
      </c>
      <c r="D50" s="25">
        <f t="shared" si="18"/>
        <v>666306.75</v>
      </c>
      <c r="E50" s="25">
        <f t="shared" si="18"/>
        <v>0</v>
      </c>
      <c r="F50" s="25">
        <f t="shared" si="18"/>
        <v>0</v>
      </c>
      <c r="G50" s="25">
        <f t="shared" si="18"/>
        <v>0</v>
      </c>
      <c r="H50" s="25">
        <f t="shared" si="18"/>
        <v>0</v>
      </c>
      <c r="I50" s="25">
        <f>SUM(C50:H50)</f>
        <v>1205081.75</v>
      </c>
      <c r="J50" s="71"/>
      <c r="K50" s="93"/>
      <c r="L50" s="25">
        <f t="shared" ref="L50:P50" si="19">SUM(L48:L49)</f>
        <v>2274428.54</v>
      </c>
      <c r="M50" s="25">
        <f t="shared" si="19"/>
        <v>0</v>
      </c>
      <c r="N50" s="25">
        <f t="shared" si="19"/>
        <v>474720.04000000004</v>
      </c>
      <c r="O50" s="25">
        <f t="shared" si="19"/>
        <v>745917.7</v>
      </c>
      <c r="P50" s="25">
        <f t="shared" si="19"/>
        <v>0</v>
      </c>
      <c r="Q50" s="25">
        <f>SUM(L50:P50)</f>
        <v>3495066.2800000003</v>
      </c>
      <c r="R50" s="23"/>
    </row>
    <row r="51" spans="1:18" x14ac:dyDescent="0.2">
      <c r="A51" s="90"/>
      <c r="B51" s="72"/>
      <c r="C51" s="10"/>
      <c r="D51" s="10"/>
      <c r="E51" s="10"/>
      <c r="F51" s="10"/>
      <c r="G51" s="10"/>
      <c r="H51" s="10"/>
      <c r="I51" s="10"/>
      <c r="J51" s="69"/>
      <c r="K51" s="50"/>
      <c r="L51" s="10"/>
      <c r="M51" s="10"/>
      <c r="N51" s="10"/>
      <c r="O51" s="10"/>
      <c r="P51" s="10"/>
      <c r="Q51" s="10"/>
      <c r="R51" s="28"/>
    </row>
    <row r="52" spans="1:18" ht="51" x14ac:dyDescent="0.2">
      <c r="A52" s="88">
        <v>11</v>
      </c>
      <c r="B52" s="32" t="s">
        <v>122</v>
      </c>
      <c r="C52" s="22">
        <v>27400</v>
      </c>
      <c r="D52" s="22">
        <v>68784.84</v>
      </c>
      <c r="E52" s="22">
        <v>0</v>
      </c>
      <c r="F52" s="22">
        <v>0</v>
      </c>
      <c r="G52" s="22">
        <v>0</v>
      </c>
      <c r="H52" s="22">
        <v>0</v>
      </c>
      <c r="I52" s="22">
        <f>SUM(C52:H52)</f>
        <v>96184.84</v>
      </c>
      <c r="J52" s="67"/>
      <c r="K52" s="50"/>
      <c r="L52" s="22">
        <v>0</v>
      </c>
      <c r="M52" s="22">
        <v>0</v>
      </c>
      <c r="N52" s="22">
        <v>0</v>
      </c>
      <c r="O52" s="22">
        <v>0</v>
      </c>
      <c r="P52" s="22">
        <v>0</v>
      </c>
      <c r="Q52" s="22">
        <f>SUM(L52:P52)</f>
        <v>0</v>
      </c>
      <c r="R52" s="4" t="s">
        <v>74</v>
      </c>
    </row>
    <row r="53" spans="1:18" x14ac:dyDescent="0.2">
      <c r="A53" s="88">
        <v>11</v>
      </c>
      <c r="B53" s="32" t="s">
        <v>123</v>
      </c>
      <c r="C53" s="22">
        <v>543932</v>
      </c>
      <c r="D53" s="22">
        <v>668835.32999999996</v>
      </c>
      <c r="E53" s="22">
        <v>0</v>
      </c>
      <c r="F53" s="22">
        <v>0</v>
      </c>
      <c r="G53" s="22">
        <v>0</v>
      </c>
      <c r="H53" s="22">
        <v>0</v>
      </c>
      <c r="I53" s="22">
        <f>SUM(C53:H53)</f>
        <v>1212767.33</v>
      </c>
      <c r="J53" s="67"/>
      <c r="K53" s="50"/>
      <c r="L53" s="22">
        <v>0</v>
      </c>
      <c r="M53" s="22">
        <v>0</v>
      </c>
      <c r="N53" s="22">
        <v>0</v>
      </c>
      <c r="O53" s="22">
        <v>0</v>
      </c>
      <c r="P53" s="22">
        <v>0</v>
      </c>
      <c r="Q53" s="22">
        <f>SUM(L53:P53)</f>
        <v>0</v>
      </c>
      <c r="R53" s="23"/>
    </row>
    <row r="54" spans="1:18" x14ac:dyDescent="0.2">
      <c r="A54" s="88">
        <v>11</v>
      </c>
      <c r="B54" s="32" t="s">
        <v>124</v>
      </c>
      <c r="C54" s="22">
        <v>23400</v>
      </c>
      <c r="D54" s="22">
        <v>26085.029999999995</v>
      </c>
      <c r="E54" s="22">
        <v>0</v>
      </c>
      <c r="F54" s="22">
        <v>0</v>
      </c>
      <c r="G54" s="22">
        <v>0</v>
      </c>
      <c r="H54" s="22">
        <v>0</v>
      </c>
      <c r="I54" s="22">
        <f>SUM(C54:H54)</f>
        <v>49485.03</v>
      </c>
      <c r="J54" s="67"/>
      <c r="K54" s="50"/>
      <c r="L54" s="22">
        <v>0</v>
      </c>
      <c r="M54" s="22">
        <v>0</v>
      </c>
      <c r="N54" s="22">
        <v>0</v>
      </c>
      <c r="O54" s="22">
        <v>0</v>
      </c>
      <c r="P54" s="22">
        <v>0</v>
      </c>
      <c r="Q54" s="22">
        <f>SUM(L54:P54)</f>
        <v>0</v>
      </c>
      <c r="R54" s="23"/>
    </row>
    <row r="55" spans="1:18" ht="13.5" thickBot="1" x14ac:dyDescent="0.25">
      <c r="A55" s="88">
        <v>11</v>
      </c>
      <c r="B55" s="32" t="s">
        <v>125</v>
      </c>
      <c r="C55" s="24">
        <f>'[11]Saluda Revenue'!$B$11</f>
        <v>22400</v>
      </c>
      <c r="D55" s="24">
        <f>'[11]Saluda Revenue'!$B$3</f>
        <v>50661.420000000006</v>
      </c>
      <c r="E55" s="24">
        <v>0</v>
      </c>
      <c r="F55" s="24">
        <v>0</v>
      </c>
      <c r="G55" s="24">
        <v>0</v>
      </c>
      <c r="H55" s="24">
        <v>0</v>
      </c>
      <c r="I55" s="24">
        <f>SUM(C55:H55)</f>
        <v>73061.420000000013</v>
      </c>
      <c r="J55" s="67"/>
      <c r="K55" s="50"/>
      <c r="L55" s="24">
        <v>0</v>
      </c>
      <c r="M55" s="24">
        <v>0</v>
      </c>
      <c r="N55" s="24">
        <v>0</v>
      </c>
      <c r="O55" s="24">
        <v>0</v>
      </c>
      <c r="P55" s="24">
        <v>0</v>
      </c>
      <c r="Q55" s="24">
        <f>SUM(L55:P55)</f>
        <v>0</v>
      </c>
      <c r="R55" s="23"/>
    </row>
    <row r="56" spans="1:18" ht="13.5" thickTop="1" x14ac:dyDescent="0.2">
      <c r="A56" s="40"/>
      <c r="B56" s="45" t="s">
        <v>4</v>
      </c>
      <c r="C56" s="25">
        <f t="shared" ref="C56:H56" si="20">SUM(C52:C55)</f>
        <v>617132</v>
      </c>
      <c r="D56" s="25">
        <f t="shared" si="20"/>
        <v>814366.62</v>
      </c>
      <c r="E56" s="25">
        <f t="shared" si="20"/>
        <v>0</v>
      </c>
      <c r="F56" s="25">
        <f t="shared" si="20"/>
        <v>0</v>
      </c>
      <c r="G56" s="25">
        <f t="shared" si="20"/>
        <v>0</v>
      </c>
      <c r="H56" s="25">
        <f t="shared" si="20"/>
        <v>0</v>
      </c>
      <c r="I56" s="25">
        <f>SUM(C56:H56)</f>
        <v>1431498.62</v>
      </c>
      <c r="J56" s="71"/>
      <c r="K56" s="93"/>
      <c r="L56" s="25">
        <f t="shared" ref="L56:P56" si="21">SUM(L52:L55)</f>
        <v>0</v>
      </c>
      <c r="M56" s="25">
        <f t="shared" si="21"/>
        <v>0</v>
      </c>
      <c r="N56" s="25">
        <f t="shared" si="21"/>
        <v>0</v>
      </c>
      <c r="O56" s="25">
        <f t="shared" si="21"/>
        <v>0</v>
      </c>
      <c r="P56" s="25">
        <f t="shared" si="21"/>
        <v>0</v>
      </c>
      <c r="Q56" s="25">
        <f>SUM(L56:P56)</f>
        <v>0</v>
      </c>
      <c r="R56" s="23"/>
    </row>
    <row r="57" spans="1:18" x14ac:dyDescent="0.2">
      <c r="A57" s="90"/>
      <c r="B57" s="72"/>
      <c r="C57" s="10"/>
      <c r="D57" s="10"/>
      <c r="E57" s="10"/>
      <c r="F57" s="10"/>
      <c r="G57" s="10"/>
      <c r="H57" s="10"/>
      <c r="I57" s="10"/>
      <c r="J57" s="69"/>
      <c r="K57" s="50"/>
      <c r="L57" s="10"/>
      <c r="M57" s="10"/>
      <c r="N57" s="10"/>
      <c r="O57" s="10"/>
      <c r="P57" s="10"/>
      <c r="Q57" s="10"/>
      <c r="R57" s="28"/>
    </row>
    <row r="58" spans="1:18" x14ac:dyDescent="0.2">
      <c r="A58" s="88">
        <v>12</v>
      </c>
      <c r="B58" s="32" t="s">
        <v>126</v>
      </c>
      <c r="C58" s="22">
        <f>'[12]Florence Revenue'!$B$11</f>
        <v>719865</v>
      </c>
      <c r="D58" s="22">
        <f>'[12]Florence Revenue'!$B$3</f>
        <v>348920.26</v>
      </c>
      <c r="E58" s="22">
        <v>0</v>
      </c>
      <c r="F58" s="22">
        <f>'[12]Florence Revenue'!$B$13</f>
        <v>20000</v>
      </c>
      <c r="G58" s="22">
        <v>0</v>
      </c>
      <c r="H58" s="22">
        <v>0</v>
      </c>
      <c r="I58" s="22">
        <f>SUM(C58:H58)</f>
        <v>1088785.26</v>
      </c>
      <c r="J58" s="70"/>
      <c r="K58" s="52"/>
      <c r="L58" s="22">
        <v>1116131</v>
      </c>
      <c r="M58" s="22">
        <v>0</v>
      </c>
      <c r="N58" s="22">
        <v>436966</v>
      </c>
      <c r="O58" s="22">
        <v>926226</v>
      </c>
      <c r="P58" s="22">
        <v>0</v>
      </c>
      <c r="Q58" s="22">
        <f>SUM(L58:P58)</f>
        <v>2479323</v>
      </c>
      <c r="R58" s="23"/>
    </row>
    <row r="59" spans="1:18" ht="13.5" thickBot="1" x14ac:dyDescent="0.25">
      <c r="A59" s="88">
        <v>12</v>
      </c>
      <c r="B59" s="32" t="s">
        <v>127</v>
      </c>
      <c r="C59" s="24">
        <f>'[12]Marion Revenue '!$B$11</f>
        <v>64179</v>
      </c>
      <c r="D59" s="24">
        <f>'[12]Marion Revenue '!$B$3</f>
        <v>84275.12</v>
      </c>
      <c r="E59" s="24">
        <v>0</v>
      </c>
      <c r="F59" s="24">
        <v>0</v>
      </c>
      <c r="G59" s="24">
        <v>0</v>
      </c>
      <c r="H59" s="24">
        <v>0</v>
      </c>
      <c r="I59" s="24">
        <f>SUM(C59:H59)</f>
        <v>148454.12</v>
      </c>
      <c r="J59" s="67"/>
      <c r="K59" s="50"/>
      <c r="L59" s="24">
        <v>0</v>
      </c>
      <c r="M59" s="24">
        <v>35488</v>
      </c>
      <c r="N59" s="24">
        <v>12225</v>
      </c>
      <c r="O59" s="24">
        <v>0</v>
      </c>
      <c r="P59" s="24">
        <v>0</v>
      </c>
      <c r="Q59" s="24">
        <f>SUM(L59:P59)</f>
        <v>47713</v>
      </c>
      <c r="R59" s="23"/>
    </row>
    <row r="60" spans="1:18" ht="13.5" thickTop="1" x14ac:dyDescent="0.2">
      <c r="A60" s="40"/>
      <c r="B60" s="45" t="s">
        <v>4</v>
      </c>
      <c r="C60" s="25">
        <f t="shared" ref="C60:H60" si="22">SUM(C58:C59)</f>
        <v>784044</v>
      </c>
      <c r="D60" s="25">
        <f t="shared" si="22"/>
        <v>433195.38</v>
      </c>
      <c r="E60" s="25">
        <f t="shared" si="22"/>
        <v>0</v>
      </c>
      <c r="F60" s="25">
        <f t="shared" si="22"/>
        <v>20000</v>
      </c>
      <c r="G60" s="25">
        <f t="shared" si="22"/>
        <v>0</v>
      </c>
      <c r="H60" s="25">
        <f t="shared" si="22"/>
        <v>0</v>
      </c>
      <c r="I60" s="25">
        <f>SUM(C60:H60)</f>
        <v>1237239.3799999999</v>
      </c>
      <c r="J60" s="71"/>
      <c r="K60" s="93"/>
      <c r="L60" s="25">
        <f t="shared" ref="L60:P60" si="23">SUM(L58:L59)</f>
        <v>1116131</v>
      </c>
      <c r="M60" s="25">
        <f t="shared" si="23"/>
        <v>35488</v>
      </c>
      <c r="N60" s="25">
        <f t="shared" si="23"/>
        <v>449191</v>
      </c>
      <c r="O60" s="25">
        <f t="shared" si="23"/>
        <v>926226</v>
      </c>
      <c r="P60" s="25">
        <f t="shared" si="23"/>
        <v>0</v>
      </c>
      <c r="Q60" s="25">
        <f>SUM(L60:P60)</f>
        <v>2527036</v>
      </c>
      <c r="R60" s="23"/>
    </row>
    <row r="61" spans="1:18" x14ac:dyDescent="0.2">
      <c r="A61" s="90"/>
      <c r="B61" s="72"/>
      <c r="C61" s="10"/>
      <c r="D61" s="10"/>
      <c r="E61" s="10"/>
      <c r="F61" s="10"/>
      <c r="G61" s="10"/>
      <c r="H61" s="10"/>
      <c r="I61" s="10"/>
      <c r="J61" s="69"/>
      <c r="K61" s="50"/>
      <c r="L61" s="10"/>
      <c r="M61" s="10"/>
      <c r="N61" s="10"/>
      <c r="O61" s="10"/>
      <c r="P61" s="10"/>
      <c r="Q61" s="10"/>
      <c r="R61" s="28"/>
    </row>
    <row r="62" spans="1:18" ht="38.25" x14ac:dyDescent="0.2">
      <c r="A62" s="88">
        <v>13</v>
      </c>
      <c r="B62" s="32" t="s">
        <v>128</v>
      </c>
      <c r="C62" s="22">
        <v>747825</v>
      </c>
      <c r="D62" s="22">
        <v>1150172.06</v>
      </c>
      <c r="E62" s="22">
        <v>0</v>
      </c>
      <c r="F62" s="22">
        <v>0</v>
      </c>
      <c r="G62" s="22">
        <v>0</v>
      </c>
      <c r="H62" s="22">
        <v>0</v>
      </c>
      <c r="I62" s="22">
        <f>SUM(C62:H62)</f>
        <v>1897997.06</v>
      </c>
      <c r="J62" s="67"/>
      <c r="K62" s="50"/>
      <c r="L62" s="22">
        <v>0</v>
      </c>
      <c r="M62" s="22">
        <v>0</v>
      </c>
      <c r="N62" s="22">
        <v>0</v>
      </c>
      <c r="O62" s="22">
        <v>0</v>
      </c>
      <c r="P62" s="22">
        <v>0</v>
      </c>
      <c r="Q62" s="22">
        <v>6753105.5800000001</v>
      </c>
      <c r="R62" s="23" t="s">
        <v>129</v>
      </c>
    </row>
    <row r="63" spans="1:18" ht="13.5" thickBot="1" x14ac:dyDescent="0.25">
      <c r="A63" s="88">
        <v>13</v>
      </c>
      <c r="B63" s="32" t="s">
        <v>130</v>
      </c>
      <c r="C63" s="24">
        <f>'[13]Pickens Revenue '!$B$11</f>
        <v>102286</v>
      </c>
      <c r="D63" s="24">
        <f>'[13]Pickens Revenue '!$B$3</f>
        <v>303902.31</v>
      </c>
      <c r="E63" s="24">
        <v>0</v>
      </c>
      <c r="F63" s="24">
        <v>0</v>
      </c>
      <c r="G63" s="24">
        <v>0</v>
      </c>
      <c r="H63" s="24">
        <v>0</v>
      </c>
      <c r="I63" s="24">
        <f>SUM(C63:H63)</f>
        <v>406188.31</v>
      </c>
      <c r="J63" s="67"/>
      <c r="K63" s="50"/>
      <c r="L63" s="24">
        <v>0</v>
      </c>
      <c r="M63" s="24">
        <v>0</v>
      </c>
      <c r="N63" s="24">
        <v>0</v>
      </c>
      <c r="O63" s="24">
        <v>0</v>
      </c>
      <c r="P63" s="24">
        <v>0</v>
      </c>
      <c r="Q63" s="24">
        <v>953611</v>
      </c>
      <c r="R63" s="23"/>
    </row>
    <row r="64" spans="1:18" ht="13.5" thickTop="1" x14ac:dyDescent="0.2">
      <c r="A64" s="40"/>
      <c r="B64" s="45" t="s">
        <v>4</v>
      </c>
      <c r="C64" s="25">
        <f t="shared" ref="C64:H64" si="24">SUM(C62:C63)</f>
        <v>850111</v>
      </c>
      <c r="D64" s="25">
        <f t="shared" si="24"/>
        <v>1454074.37</v>
      </c>
      <c r="E64" s="25">
        <f t="shared" si="24"/>
        <v>0</v>
      </c>
      <c r="F64" s="25">
        <f t="shared" si="24"/>
        <v>0</v>
      </c>
      <c r="G64" s="25">
        <f t="shared" si="24"/>
        <v>0</v>
      </c>
      <c r="H64" s="25">
        <f t="shared" si="24"/>
        <v>0</v>
      </c>
      <c r="I64" s="25">
        <f>SUM(C64:H64)</f>
        <v>2304185.37</v>
      </c>
      <c r="J64" s="71"/>
      <c r="K64" s="93"/>
      <c r="L64" s="25">
        <f t="shared" ref="L64:P64" si="25">SUM(L62:L63)</f>
        <v>0</v>
      </c>
      <c r="M64" s="25">
        <f t="shared" si="25"/>
        <v>0</v>
      </c>
      <c r="N64" s="25">
        <f t="shared" si="25"/>
        <v>0</v>
      </c>
      <c r="O64" s="25">
        <f t="shared" si="25"/>
        <v>0</v>
      </c>
      <c r="P64" s="25">
        <f t="shared" si="25"/>
        <v>0</v>
      </c>
      <c r="Q64" s="25">
        <f>SUM(Q62:Q63)</f>
        <v>7706716.5800000001</v>
      </c>
      <c r="R64" s="23"/>
    </row>
    <row r="65" spans="1:18" x14ac:dyDescent="0.2">
      <c r="A65" s="88"/>
      <c r="B65" s="72"/>
      <c r="C65" s="10"/>
      <c r="D65" s="10"/>
      <c r="E65" s="10"/>
      <c r="F65" s="10"/>
      <c r="G65" s="10"/>
      <c r="H65" s="10"/>
      <c r="I65" s="10"/>
      <c r="J65" s="69"/>
      <c r="K65" s="50"/>
      <c r="L65" s="10"/>
      <c r="M65" s="10"/>
      <c r="N65" s="10"/>
      <c r="O65" s="10"/>
      <c r="P65" s="10"/>
      <c r="Q65" s="10"/>
      <c r="R65" s="28"/>
    </row>
    <row r="66" spans="1:18" x14ac:dyDescent="0.2">
      <c r="A66" s="88">
        <v>14</v>
      </c>
      <c r="B66" s="32" t="s">
        <v>131</v>
      </c>
      <c r="C66" s="22">
        <v>20000</v>
      </c>
      <c r="D66" s="22">
        <v>26558.030000000006</v>
      </c>
      <c r="E66" s="22">
        <v>0</v>
      </c>
      <c r="F66" s="22">
        <v>0</v>
      </c>
      <c r="G66" s="22">
        <v>0</v>
      </c>
      <c r="H66" s="22">
        <v>0</v>
      </c>
      <c r="I66" s="22">
        <f t="shared" ref="I66:I71" si="26">SUM(C66:H66)</f>
        <v>46558.030000000006</v>
      </c>
      <c r="J66" s="67"/>
      <c r="K66" s="50"/>
      <c r="L66" s="22">
        <v>20000</v>
      </c>
      <c r="M66" s="22">
        <v>0</v>
      </c>
      <c r="N66" s="22">
        <v>2265</v>
      </c>
      <c r="O66" s="22">
        <v>0</v>
      </c>
      <c r="P66" s="22">
        <v>0</v>
      </c>
      <c r="Q66" s="22">
        <f t="shared" ref="Q66:Q71" si="27">SUM(L66:P66)</f>
        <v>22265</v>
      </c>
      <c r="R66" s="23"/>
    </row>
    <row r="67" spans="1:18" x14ac:dyDescent="0.2">
      <c r="A67" s="88">
        <v>14</v>
      </c>
      <c r="B67" s="32" t="s">
        <v>132</v>
      </c>
      <c r="C67" s="22">
        <v>819293</v>
      </c>
      <c r="D67" s="22">
        <v>413532.35000000009</v>
      </c>
      <c r="E67" s="22">
        <v>0</v>
      </c>
      <c r="F67" s="22">
        <v>0</v>
      </c>
      <c r="G67" s="22">
        <v>0</v>
      </c>
      <c r="H67" s="22">
        <v>0</v>
      </c>
      <c r="I67" s="22">
        <f t="shared" si="26"/>
        <v>1232825.3500000001</v>
      </c>
      <c r="J67" s="67"/>
      <c r="K67" s="50"/>
      <c r="L67" s="22">
        <v>1245000</v>
      </c>
      <c r="M67" s="22">
        <v>98500</v>
      </c>
      <c r="N67" s="22">
        <v>280084.31</v>
      </c>
      <c r="O67" s="22">
        <v>1049235.3799999999</v>
      </c>
      <c r="P67" s="22">
        <v>213978.27</v>
      </c>
      <c r="Q67" s="22">
        <f t="shared" si="27"/>
        <v>2886797.96</v>
      </c>
      <c r="R67" s="23"/>
    </row>
    <row r="68" spans="1:18" x14ac:dyDescent="0.2">
      <c r="A68" s="88">
        <v>14</v>
      </c>
      <c r="B68" s="32" t="s">
        <v>133</v>
      </c>
      <c r="C68" s="22">
        <v>234901</v>
      </c>
      <c r="D68" s="22">
        <v>99135.83</v>
      </c>
      <c r="E68" s="22">
        <v>0</v>
      </c>
      <c r="F68" s="22">
        <v>0</v>
      </c>
      <c r="G68" s="22">
        <v>0</v>
      </c>
      <c r="H68" s="22">
        <v>0</v>
      </c>
      <c r="I68" s="22">
        <f t="shared" si="26"/>
        <v>334036.83</v>
      </c>
      <c r="J68" s="67"/>
      <c r="K68" s="50"/>
      <c r="L68" s="22">
        <v>229512</v>
      </c>
      <c r="M68" s="22">
        <v>0</v>
      </c>
      <c r="N68" s="22">
        <v>49302.67</v>
      </c>
      <c r="O68" s="22">
        <v>0</v>
      </c>
      <c r="P68" s="22">
        <v>0</v>
      </c>
      <c r="Q68" s="22">
        <f t="shared" si="27"/>
        <v>278814.67</v>
      </c>
      <c r="R68" s="23"/>
    </row>
    <row r="69" spans="1:18" x14ac:dyDescent="0.2">
      <c r="A69" s="88">
        <v>14</v>
      </c>
      <c r="B69" s="32" t="s">
        <v>134</v>
      </c>
      <c r="C69" s="22">
        <f>'[14]Hampton Revenue'!$B$11</f>
        <v>44000</v>
      </c>
      <c r="D69" s="22">
        <f>'[14]Hampton Revenue'!$B$3</f>
        <v>53758.509999999995</v>
      </c>
      <c r="E69" s="22">
        <v>0</v>
      </c>
      <c r="F69" s="22">
        <v>0</v>
      </c>
      <c r="G69" s="22">
        <v>0</v>
      </c>
      <c r="H69" s="22">
        <v>0</v>
      </c>
      <c r="I69" s="22">
        <f t="shared" si="26"/>
        <v>97758.51</v>
      </c>
      <c r="J69" s="67"/>
      <c r="K69" s="50"/>
      <c r="L69" s="22">
        <v>87540</v>
      </c>
      <c r="M69" s="22">
        <v>0</v>
      </c>
      <c r="N69" s="22">
        <v>29540</v>
      </c>
      <c r="O69" s="22">
        <v>0</v>
      </c>
      <c r="P69" s="22">
        <v>0</v>
      </c>
      <c r="Q69" s="22">
        <f t="shared" si="27"/>
        <v>117080</v>
      </c>
      <c r="R69" s="23"/>
    </row>
    <row r="70" spans="1:18" ht="13.5" thickBot="1" x14ac:dyDescent="0.25">
      <c r="A70" s="88">
        <v>14</v>
      </c>
      <c r="B70" s="32" t="s">
        <v>135</v>
      </c>
      <c r="C70" s="24">
        <f>'[14]Jasper Revenue'!$B$11</f>
        <v>124000</v>
      </c>
      <c r="D70" s="24">
        <f>'[14]Jasper Revenue'!$B$3</f>
        <v>63156.69</v>
      </c>
      <c r="E70" s="24">
        <v>0</v>
      </c>
      <c r="F70" s="24">
        <v>0</v>
      </c>
      <c r="G70" s="24">
        <v>0</v>
      </c>
      <c r="H70" s="24">
        <v>0</v>
      </c>
      <c r="I70" s="24">
        <f t="shared" si="26"/>
        <v>187156.69</v>
      </c>
      <c r="J70" s="67"/>
      <c r="K70" s="50"/>
      <c r="L70" s="24">
        <v>199950</v>
      </c>
      <c r="M70" s="24">
        <v>37500</v>
      </c>
      <c r="N70" s="24">
        <v>41395</v>
      </c>
      <c r="O70" s="24">
        <v>0</v>
      </c>
      <c r="P70" s="24">
        <v>0</v>
      </c>
      <c r="Q70" s="24">
        <f t="shared" si="27"/>
        <v>278845</v>
      </c>
      <c r="R70" s="23"/>
    </row>
    <row r="71" spans="1:18" ht="13.5" thickTop="1" x14ac:dyDescent="0.2">
      <c r="A71" s="40"/>
      <c r="B71" s="45" t="s">
        <v>4</v>
      </c>
      <c r="C71" s="25">
        <f t="shared" ref="C71:H71" si="28">SUM(C66:C70)</f>
        <v>1242194</v>
      </c>
      <c r="D71" s="25">
        <f t="shared" si="28"/>
        <v>656141.41000000015</v>
      </c>
      <c r="E71" s="25">
        <f t="shared" si="28"/>
        <v>0</v>
      </c>
      <c r="F71" s="25">
        <f t="shared" si="28"/>
        <v>0</v>
      </c>
      <c r="G71" s="25">
        <f t="shared" si="28"/>
        <v>0</v>
      </c>
      <c r="H71" s="25">
        <f t="shared" si="28"/>
        <v>0</v>
      </c>
      <c r="I71" s="25">
        <f t="shared" si="26"/>
        <v>1898335.4100000001</v>
      </c>
      <c r="J71" s="71"/>
      <c r="K71" s="93"/>
      <c r="L71" s="25">
        <f t="shared" ref="L71:P71" si="29">SUM(L66:L70)</f>
        <v>1782002</v>
      </c>
      <c r="M71" s="25">
        <f t="shared" si="29"/>
        <v>136000</v>
      </c>
      <c r="N71" s="25">
        <f t="shared" si="29"/>
        <v>402586.98</v>
      </c>
      <c r="O71" s="25">
        <f t="shared" si="29"/>
        <v>1049235.3799999999</v>
      </c>
      <c r="P71" s="25">
        <f t="shared" si="29"/>
        <v>213978.27</v>
      </c>
      <c r="Q71" s="25">
        <f t="shared" si="27"/>
        <v>3583802.63</v>
      </c>
      <c r="R71" s="23"/>
    </row>
    <row r="72" spans="1:18" x14ac:dyDescent="0.2">
      <c r="A72" s="88"/>
      <c r="B72" s="72"/>
      <c r="C72" s="10"/>
      <c r="D72" s="10"/>
      <c r="E72" s="10"/>
      <c r="F72" s="10"/>
      <c r="G72" s="10"/>
      <c r="H72" s="10"/>
      <c r="I72" s="10"/>
      <c r="J72" s="69"/>
      <c r="K72" s="50"/>
      <c r="L72" s="10"/>
      <c r="M72" s="10"/>
      <c r="N72" s="10"/>
      <c r="O72" s="10"/>
      <c r="P72" s="10"/>
      <c r="Q72" s="10"/>
      <c r="R72" s="28"/>
    </row>
    <row r="73" spans="1:18" x14ac:dyDescent="0.2">
      <c r="A73" s="88">
        <v>15</v>
      </c>
      <c r="B73" s="32" t="s">
        <v>136</v>
      </c>
      <c r="C73" s="22">
        <v>126100</v>
      </c>
      <c r="D73" s="22">
        <v>153342.56</v>
      </c>
      <c r="E73" s="22">
        <v>0</v>
      </c>
      <c r="F73" s="22">
        <v>0</v>
      </c>
      <c r="G73" s="22">
        <v>0</v>
      </c>
      <c r="H73" s="22">
        <v>0</v>
      </c>
      <c r="I73" s="22">
        <f>SUM(C73:H73)</f>
        <v>279442.56</v>
      </c>
      <c r="J73" s="67"/>
      <c r="K73" s="50"/>
      <c r="L73" s="22">
        <v>1047618</v>
      </c>
      <c r="M73" s="22">
        <v>0</v>
      </c>
      <c r="N73" s="22">
        <v>99249.5</v>
      </c>
      <c r="O73" s="22">
        <v>0</v>
      </c>
      <c r="P73" s="22">
        <v>0</v>
      </c>
      <c r="Q73" s="22">
        <f>SUM(L73:P73)</f>
        <v>1146867.5</v>
      </c>
      <c r="R73" s="23"/>
    </row>
    <row r="74" spans="1:18" ht="13.5" thickBot="1" x14ac:dyDescent="0.25">
      <c r="A74" s="88">
        <v>15</v>
      </c>
      <c r="B74" s="32" t="s">
        <v>137</v>
      </c>
      <c r="C74" s="24">
        <f>'[15]Horry Revenue '!$B$11</f>
        <v>989354</v>
      </c>
      <c r="D74" s="24">
        <f>'[15]Horry Revenue '!$B$3</f>
        <v>686423.88</v>
      </c>
      <c r="E74" s="24">
        <v>0</v>
      </c>
      <c r="F74" s="24">
        <v>0</v>
      </c>
      <c r="G74" s="24">
        <v>0</v>
      </c>
      <c r="H74" s="24">
        <v>0</v>
      </c>
      <c r="I74" s="24">
        <f>SUM(C74:H74)</f>
        <v>1675777.88</v>
      </c>
      <c r="J74" s="67"/>
      <c r="K74" s="50"/>
      <c r="L74" s="24">
        <v>3874909</v>
      </c>
      <c r="M74" s="24"/>
      <c r="N74" s="24">
        <v>1683502.79</v>
      </c>
      <c r="O74" s="24">
        <v>969162.11</v>
      </c>
      <c r="P74" s="24">
        <v>423362</v>
      </c>
      <c r="Q74" s="24">
        <f>SUM(L74:P74)</f>
        <v>6950935.9000000004</v>
      </c>
      <c r="R74" s="23"/>
    </row>
    <row r="75" spans="1:18" ht="13.5" thickTop="1" x14ac:dyDescent="0.2">
      <c r="A75" s="40"/>
      <c r="B75" s="45" t="s">
        <v>4</v>
      </c>
      <c r="C75" s="25">
        <f t="shared" ref="C75:H75" si="30">SUM(C73:C74)</f>
        <v>1115454</v>
      </c>
      <c r="D75" s="25">
        <f t="shared" si="30"/>
        <v>839766.44</v>
      </c>
      <c r="E75" s="25">
        <f t="shared" si="30"/>
        <v>0</v>
      </c>
      <c r="F75" s="25">
        <f t="shared" si="30"/>
        <v>0</v>
      </c>
      <c r="G75" s="25">
        <f t="shared" si="30"/>
        <v>0</v>
      </c>
      <c r="H75" s="25">
        <f t="shared" si="30"/>
        <v>0</v>
      </c>
      <c r="I75" s="25">
        <f>SUM(C75:H75)</f>
        <v>1955220.44</v>
      </c>
      <c r="J75" s="71"/>
      <c r="K75" s="93"/>
      <c r="L75" s="25">
        <f t="shared" ref="L75:P75" si="31">SUM(L73:L74)</f>
        <v>4922527</v>
      </c>
      <c r="M75" s="25">
        <f t="shared" si="31"/>
        <v>0</v>
      </c>
      <c r="N75" s="25">
        <f t="shared" si="31"/>
        <v>1782752.29</v>
      </c>
      <c r="O75" s="25">
        <f t="shared" si="31"/>
        <v>969162.11</v>
      </c>
      <c r="P75" s="25">
        <f t="shared" si="31"/>
        <v>423362</v>
      </c>
      <c r="Q75" s="25">
        <f>SUM(L75:P75)</f>
        <v>8097803.4000000004</v>
      </c>
      <c r="R75" s="23"/>
    </row>
    <row r="76" spans="1:18" x14ac:dyDescent="0.2">
      <c r="A76" s="88"/>
      <c r="B76" s="72"/>
      <c r="C76" s="10"/>
      <c r="D76" s="10"/>
      <c r="E76" s="10"/>
      <c r="F76" s="10"/>
      <c r="G76" s="10"/>
      <c r="H76" s="10"/>
      <c r="I76" s="10"/>
      <c r="J76" s="69"/>
      <c r="K76" s="50"/>
      <c r="L76" s="10"/>
      <c r="M76" s="10"/>
      <c r="N76" s="10"/>
      <c r="O76" s="10"/>
      <c r="P76" s="10"/>
      <c r="Q76" s="10"/>
      <c r="R76" s="28"/>
    </row>
    <row r="77" spans="1:18" x14ac:dyDescent="0.2">
      <c r="A77" s="88">
        <v>16</v>
      </c>
      <c r="B77" s="32" t="s">
        <v>138</v>
      </c>
      <c r="C77" s="22">
        <f>'[16]Union Revenue'!$B$11</f>
        <v>100822</v>
      </c>
      <c r="D77" s="22">
        <f>'[16]Union Revenue'!$B$3</f>
        <v>73821.710000000006</v>
      </c>
      <c r="E77" s="22">
        <v>0</v>
      </c>
      <c r="F77" s="22">
        <v>0</v>
      </c>
      <c r="G77" s="22">
        <v>0</v>
      </c>
      <c r="H77" s="22">
        <v>0</v>
      </c>
      <c r="I77" s="22">
        <f>SUM(C77:H77)</f>
        <v>174643.71000000002</v>
      </c>
      <c r="J77" s="67"/>
      <c r="K77" s="50"/>
      <c r="L77" s="22">
        <v>234163</v>
      </c>
      <c r="M77" s="22"/>
      <c r="N77" s="22">
        <v>23245</v>
      </c>
      <c r="O77" s="22"/>
      <c r="P77" s="22">
        <v>0</v>
      </c>
      <c r="Q77" s="22">
        <f>SUM(L77:P77)</f>
        <v>257408</v>
      </c>
      <c r="R77" s="23"/>
    </row>
    <row r="78" spans="1:18" ht="13.5" thickBot="1" x14ac:dyDescent="0.25">
      <c r="A78" s="88">
        <v>16</v>
      </c>
      <c r="B78" s="32" t="s">
        <v>139</v>
      </c>
      <c r="C78" s="24">
        <f>'[16]York Revenue '!$B$11</f>
        <v>1369721</v>
      </c>
      <c r="D78" s="24">
        <f>'[16]York Revenue '!$B$3</f>
        <v>576261.69000000006</v>
      </c>
      <c r="E78" s="24">
        <v>0</v>
      </c>
      <c r="F78" s="24">
        <f>'[16]York Revenue '!$B$13</f>
        <v>15000</v>
      </c>
      <c r="G78" s="24">
        <v>0</v>
      </c>
      <c r="H78" s="24">
        <v>0</v>
      </c>
      <c r="I78" s="24">
        <f>SUM(C78:H78)</f>
        <v>1960982.69</v>
      </c>
      <c r="J78" s="67"/>
      <c r="K78" s="50"/>
      <c r="L78" s="24">
        <v>4343011</v>
      </c>
      <c r="M78" s="24">
        <v>20000</v>
      </c>
      <c r="N78" s="24">
        <v>523970</v>
      </c>
      <c r="O78" s="24">
        <v>1017034</v>
      </c>
      <c r="P78" s="24">
        <v>0</v>
      </c>
      <c r="Q78" s="24">
        <f>SUM(L78:P78)</f>
        <v>5904015</v>
      </c>
      <c r="R78" s="23"/>
    </row>
    <row r="79" spans="1:18" ht="13.5" thickTop="1" x14ac:dyDescent="0.2">
      <c r="A79" s="40"/>
      <c r="B79" s="45" t="s">
        <v>4</v>
      </c>
      <c r="C79" s="68">
        <f>SUM(C77:C78)</f>
        <v>1470543</v>
      </c>
      <c r="D79" s="68">
        <f>SUM(D77:D78)</f>
        <v>650083.4</v>
      </c>
      <c r="E79" s="25">
        <v>0</v>
      </c>
      <c r="F79" s="25">
        <f>SUM(F78:F78)</f>
        <v>15000</v>
      </c>
      <c r="G79" s="25">
        <v>0</v>
      </c>
      <c r="H79" s="25">
        <v>0</v>
      </c>
      <c r="I79" s="25">
        <f>SUM(C79:H79)</f>
        <v>2135626.4</v>
      </c>
      <c r="J79" s="71"/>
      <c r="K79" s="93"/>
      <c r="L79" s="25">
        <f t="shared" ref="L79:P79" si="32">SUM(L77:L78)</f>
        <v>4577174</v>
      </c>
      <c r="M79" s="25">
        <f t="shared" si="32"/>
        <v>20000</v>
      </c>
      <c r="N79" s="25">
        <f t="shared" si="32"/>
        <v>547215</v>
      </c>
      <c r="O79" s="25">
        <f t="shared" si="32"/>
        <v>1017034</v>
      </c>
      <c r="P79" s="25">
        <f t="shared" si="32"/>
        <v>0</v>
      </c>
      <c r="Q79" s="25">
        <f>SUM(L79:P79)</f>
        <v>6161423</v>
      </c>
      <c r="R79" s="23"/>
    </row>
    <row r="80" spans="1:18" x14ac:dyDescent="0.2">
      <c r="A80" s="40"/>
      <c r="B80" s="95"/>
      <c r="C80" s="30"/>
      <c r="D80" s="30"/>
      <c r="E80" s="27"/>
      <c r="F80" s="31"/>
      <c r="G80" s="27"/>
      <c r="H80" s="27"/>
      <c r="I80" s="31"/>
      <c r="J80" s="73"/>
      <c r="K80" s="52"/>
      <c r="L80" s="30"/>
      <c r="M80" s="31"/>
      <c r="N80" s="27"/>
      <c r="O80" s="27"/>
      <c r="P80" s="27"/>
      <c r="Q80" s="31"/>
      <c r="R80" s="28"/>
    </row>
    <row r="81" spans="1:18" x14ac:dyDescent="0.2">
      <c r="A81" s="88"/>
      <c r="B81" s="32"/>
      <c r="C81" s="32"/>
      <c r="D81" s="32"/>
      <c r="E81" s="32"/>
      <c r="F81" s="22"/>
      <c r="G81" s="32"/>
      <c r="H81" s="32"/>
      <c r="I81" s="32"/>
      <c r="J81" s="67"/>
      <c r="K81" s="50"/>
      <c r="L81" s="32"/>
      <c r="M81" s="22"/>
      <c r="N81" s="32"/>
      <c r="O81" s="32"/>
      <c r="P81" s="32"/>
      <c r="Q81" s="32"/>
      <c r="R81" s="23"/>
    </row>
    <row r="82" spans="1:18" x14ac:dyDescent="0.2">
      <c r="A82" s="88"/>
      <c r="B82" s="87" t="s">
        <v>48</v>
      </c>
      <c r="C82" s="34">
        <f t="shared" ref="C82:H82" si="33">C79+C75+C71+C64+C60+C56+C50+C46+C42+C36+C32+C27+C23+C17+C11+C6</f>
        <v>16529059</v>
      </c>
      <c r="D82" s="34">
        <f t="shared" si="33"/>
        <v>11790065.770000003</v>
      </c>
      <c r="E82" s="34">
        <f t="shared" si="33"/>
        <v>0</v>
      </c>
      <c r="F82" s="34">
        <f t="shared" si="33"/>
        <v>247000</v>
      </c>
      <c r="G82" s="34">
        <f t="shared" si="33"/>
        <v>368156.68</v>
      </c>
      <c r="H82" s="34">
        <f t="shared" si="33"/>
        <v>12000</v>
      </c>
      <c r="I82" s="34">
        <f>SUM(C82:H82)</f>
        <v>28946281.450000003</v>
      </c>
      <c r="J82" s="34"/>
      <c r="K82" s="89"/>
      <c r="L82" s="34">
        <f t="shared" ref="L82:P82" si="34">L79+L75+L71+L64+L60+L56+L50+L46+L42+L36+L32+L27+L23+L17+L11+L6</f>
        <v>31466275.879999999</v>
      </c>
      <c r="M82" s="34">
        <f>M79+M75+M71+M64+M60+M56+M50+M46+M42+M36+M32+M27+M23+M17+M11+M6</f>
        <v>590794.4</v>
      </c>
      <c r="N82" s="34">
        <f>N79+N75+N71+N64+N60+N56+N50+N46+N42+N36+N32+N27+N23+N17+N11+N6</f>
        <v>7408501.8700000001</v>
      </c>
      <c r="O82" s="34">
        <f t="shared" si="34"/>
        <v>13767290.35</v>
      </c>
      <c r="P82" s="34">
        <f t="shared" si="34"/>
        <v>1899471.81</v>
      </c>
      <c r="Q82" s="25">
        <f>SUM(L82:P82)</f>
        <v>55132334.310000002</v>
      </c>
      <c r="R82" s="23"/>
    </row>
  </sheetData>
  <pageMargins left="0.7" right="0.7" top="0.75" bottom="0.75" header="0.3" footer="0.3"/>
  <pageSetup paperSize="5" scale="67" fitToHeight="0" orientation="landscape" r:id="rId1"/>
  <headerFooter>
    <oddHeader>&amp;CFY 15-16 Combined Revenue Details - Indigent Defense and Solicitor's Offices</oddHeader>
    <oddFooter>&amp;LData and analysis based on reports submitted by Commission on Indigent Defense and Commission on Prosecution Coordination pursuant to FY15-16 Proviso 117.110 and FY16-17 Proviso 117.109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Totals</vt:lpstr>
      <vt:lpstr>Percentages of Total-Solicitor</vt:lpstr>
      <vt:lpstr>FY16 Solicitor R&amp;E</vt:lpstr>
      <vt:lpstr>FY17 Solicitor R&amp;E</vt:lpstr>
      <vt:lpstr>Percentages of Total-Ind. Def.</vt:lpstr>
      <vt:lpstr>FY16 Ind. Defense R&amp;E</vt:lpstr>
      <vt:lpstr>FY17 Ind. Defense R&amp;E</vt:lpstr>
      <vt:lpstr>FY16 Expense Details</vt:lpstr>
      <vt:lpstr>FY16 Revenue Details</vt:lpstr>
      <vt:lpstr>FY17 Expense Details</vt:lpstr>
      <vt:lpstr>FY17 Revenue Details</vt:lpstr>
      <vt:lpstr>'FY16 Expense Details'!Print_Titles</vt:lpstr>
      <vt:lpstr>'FY16 Ind. Defense R&amp;E'!Print_Titles</vt:lpstr>
      <vt:lpstr>'FY16 Revenue Details'!Print_Titles</vt:lpstr>
      <vt:lpstr>'FY16 Solicitor R&amp;E'!Print_Titles</vt:lpstr>
      <vt:lpstr>'FY17 Expense Details'!Print_Titles</vt:lpstr>
      <vt:lpstr>'FY17 Ind. Defense R&amp;E'!Print_Titles</vt:lpstr>
      <vt:lpstr>'FY17 Revenue Details'!Print_Titles</vt:lpstr>
      <vt:lpstr>'FY17 Solicitor R&amp;E'!Print_Titles</vt:lpstr>
      <vt:lpstr>Totals!Print_Titles</vt:lpstr>
    </vt:vector>
  </TitlesOfParts>
  <Company>Legislative Services Agency (LSA)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Appleby</dc:creator>
  <cp:lastModifiedBy>Charles Appleby</cp:lastModifiedBy>
  <cp:lastPrinted>2018-06-06T19:30:02Z</cp:lastPrinted>
  <dcterms:created xsi:type="dcterms:W3CDTF">2018-05-18T14:58:09Z</dcterms:created>
  <dcterms:modified xsi:type="dcterms:W3CDTF">2018-06-06T19:39:25Z</dcterms:modified>
</cp:coreProperties>
</file>